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DOC\INCOME INEQUALITY FILES\Capital and Wealtlh - Online Data and Codes\Figures and Sources\"/>
    </mc:Choice>
  </mc:AlternateContent>
  <xr:revisionPtr revIDLastSave="0" documentId="13_ncr:1_{CCF49ADB-4067-4566-9DD1-7596836BE4F4}" xr6:coauthVersionLast="47" xr6:coauthVersionMax="47" xr10:uidLastSave="{00000000-0000-0000-0000-000000000000}"/>
  <bookViews>
    <workbookView xWindow="0" yWindow="1188" windowWidth="23040" windowHeight="12612" activeTab="3" xr2:uid="{00000000-000D-0000-FFFF-FFFF00000000}"/>
  </bookViews>
  <sheets>
    <sheet name="Sheet1" sheetId="1" r:id="rId1"/>
    <sheet name="Sheet2" sheetId="4" r:id="rId2"/>
    <sheet name="Sheet3" sheetId="3" r:id="rId3"/>
    <sheet name="Sheet4" sheetId="5" r:id="rId4"/>
    <sheet name="Sheet5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1" i="6" l="1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E49" i="1" l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P48" i="4" l="1"/>
  <c r="H51" i="6" s="1"/>
  <c r="P47" i="4"/>
  <c r="H50" i="6" s="1"/>
  <c r="P46" i="4"/>
  <c r="H49" i="6" s="1"/>
  <c r="P45" i="4"/>
  <c r="H48" i="6" s="1"/>
  <c r="P44" i="4"/>
  <c r="H47" i="6" s="1"/>
  <c r="P43" i="4"/>
  <c r="H46" i="6" s="1"/>
  <c r="P42" i="4"/>
  <c r="H45" i="6" s="1"/>
  <c r="P41" i="4"/>
  <c r="H44" i="6" s="1"/>
  <c r="P40" i="4"/>
  <c r="H43" i="6" s="1"/>
  <c r="P39" i="4"/>
  <c r="H42" i="6" s="1"/>
  <c r="P38" i="4"/>
  <c r="H41" i="6" s="1"/>
  <c r="P37" i="4"/>
  <c r="H40" i="6" s="1"/>
  <c r="P36" i="4"/>
  <c r="H39" i="6" s="1"/>
  <c r="P28" i="4"/>
  <c r="H31" i="6" s="1"/>
  <c r="P27" i="4"/>
  <c r="H30" i="6" s="1"/>
  <c r="P26" i="4"/>
  <c r="H29" i="6" s="1"/>
  <c r="P25" i="4"/>
  <c r="H28" i="6" s="1"/>
  <c r="P24" i="4"/>
  <c r="H27" i="6" s="1"/>
  <c r="P23" i="4"/>
  <c r="H26" i="6" s="1"/>
  <c r="P22" i="4"/>
  <c r="H25" i="6" s="1"/>
  <c r="P21" i="4"/>
  <c r="H24" i="6" s="1"/>
  <c r="P20" i="4"/>
  <c r="H23" i="6" s="1"/>
  <c r="P19" i="4"/>
  <c r="H22" i="6" s="1"/>
  <c r="P18" i="4"/>
  <c r="H21" i="6" s="1"/>
  <c r="P17" i="4"/>
  <c r="H20" i="6" s="1"/>
  <c r="P16" i="4"/>
  <c r="H19" i="6" s="1"/>
  <c r="P15" i="4"/>
  <c r="H18" i="6" s="1"/>
  <c r="P14" i="4"/>
  <c r="H17" i="6" s="1"/>
  <c r="P13" i="4"/>
  <c r="H16" i="6" s="1"/>
  <c r="P12" i="4"/>
  <c r="H15" i="6" s="1"/>
  <c r="P11" i="4"/>
  <c r="H14" i="6" s="1"/>
  <c r="P10" i="4"/>
  <c r="H13" i="6" s="1"/>
  <c r="P9" i="4"/>
  <c r="H12" i="6" s="1"/>
  <c r="P8" i="4"/>
  <c r="H11" i="6" s="1"/>
  <c r="P7" i="4"/>
  <c r="H10" i="6" s="1"/>
  <c r="P6" i="4"/>
  <c r="H9" i="6" s="1"/>
  <c r="P5" i="4"/>
  <c r="H8" i="6" s="1"/>
  <c r="P4" i="4"/>
  <c r="H7" i="6" s="1"/>
  <c r="P3" i="4"/>
  <c r="H6" i="6" s="1"/>
  <c r="AE49" i="1" l="1"/>
  <c r="M51" i="6" s="1"/>
  <c r="AE48" i="1"/>
  <c r="M50" i="6" s="1"/>
  <c r="AE47" i="1"/>
  <c r="M49" i="6" s="1"/>
  <c r="AE46" i="1"/>
  <c r="M48" i="6" s="1"/>
  <c r="AE45" i="1"/>
  <c r="M47" i="6" s="1"/>
  <c r="AE44" i="1"/>
  <c r="M46" i="6" s="1"/>
  <c r="AE43" i="1"/>
  <c r="M45" i="6" s="1"/>
  <c r="AE42" i="1"/>
  <c r="M44" i="6" s="1"/>
  <c r="AE41" i="1"/>
  <c r="M43" i="6" s="1"/>
  <c r="AE40" i="1"/>
  <c r="M42" i="6" s="1"/>
  <c r="AE39" i="1"/>
  <c r="M41" i="6" s="1"/>
  <c r="AE38" i="1"/>
  <c r="M40" i="6" s="1"/>
  <c r="AE37" i="1"/>
  <c r="M39" i="6" s="1"/>
  <c r="AE36" i="1"/>
  <c r="M38" i="6" s="1"/>
  <c r="AE35" i="1"/>
  <c r="M37" i="6" s="1"/>
  <c r="AE34" i="1"/>
  <c r="M36" i="6" s="1"/>
  <c r="AE33" i="1"/>
  <c r="M35" i="6" s="1"/>
  <c r="AE32" i="1"/>
  <c r="M34" i="6" s="1"/>
  <c r="AE31" i="1"/>
  <c r="M33" i="6" s="1"/>
  <c r="AE30" i="1"/>
  <c r="M32" i="6" s="1"/>
  <c r="AE29" i="1"/>
  <c r="M31" i="6" s="1"/>
  <c r="AE28" i="1"/>
  <c r="M30" i="6" s="1"/>
  <c r="AE27" i="1"/>
  <c r="M29" i="6" s="1"/>
  <c r="AE26" i="1"/>
  <c r="M28" i="6" s="1"/>
  <c r="AE25" i="1"/>
  <c r="M27" i="6" s="1"/>
  <c r="AE24" i="1"/>
  <c r="M26" i="6" s="1"/>
  <c r="AE23" i="1"/>
  <c r="M25" i="6" s="1"/>
  <c r="AE22" i="1"/>
  <c r="M24" i="6" s="1"/>
  <c r="AE21" i="1"/>
  <c r="M23" i="6" s="1"/>
  <c r="AE20" i="1"/>
  <c r="M22" i="6" s="1"/>
  <c r="AE19" i="1"/>
  <c r="M21" i="6" s="1"/>
  <c r="AE18" i="1"/>
  <c r="M20" i="6" s="1"/>
  <c r="AE17" i="1"/>
  <c r="M19" i="6" s="1"/>
  <c r="AE16" i="1"/>
  <c r="M18" i="6" s="1"/>
  <c r="AE15" i="1"/>
  <c r="M17" i="6" s="1"/>
  <c r="AE14" i="1"/>
  <c r="M16" i="6" s="1"/>
  <c r="AE13" i="1"/>
  <c r="M15" i="6" s="1"/>
  <c r="AE12" i="1"/>
  <c r="M14" i="6" s="1"/>
  <c r="AE11" i="1"/>
  <c r="M13" i="6" s="1"/>
  <c r="AE10" i="1"/>
  <c r="M12" i="6" s="1"/>
  <c r="AE9" i="1"/>
  <c r="M11" i="6" s="1"/>
  <c r="AE8" i="1"/>
  <c r="M10" i="6" s="1"/>
  <c r="AE7" i="1"/>
  <c r="M9" i="6" s="1"/>
  <c r="AE6" i="1"/>
  <c r="M8" i="6" s="1"/>
  <c r="AE5" i="1"/>
  <c r="M7" i="6" s="1"/>
  <c r="AE4" i="1"/>
  <c r="M6" i="6" s="1"/>
  <c r="AD49" i="1"/>
  <c r="L51" i="6" s="1"/>
  <c r="AD48" i="1"/>
  <c r="L50" i="6" s="1"/>
  <c r="AD47" i="1"/>
  <c r="L49" i="6" s="1"/>
  <c r="AD46" i="1"/>
  <c r="L48" i="6" s="1"/>
  <c r="AD45" i="1"/>
  <c r="L47" i="6" s="1"/>
  <c r="AD44" i="1"/>
  <c r="L46" i="6" s="1"/>
  <c r="AD43" i="1"/>
  <c r="L45" i="6" s="1"/>
  <c r="AD42" i="1"/>
  <c r="L44" i="6" s="1"/>
  <c r="AD41" i="1"/>
  <c r="L43" i="6" s="1"/>
  <c r="AD40" i="1"/>
  <c r="L42" i="6" s="1"/>
  <c r="AD39" i="1"/>
  <c r="L41" i="6" s="1"/>
  <c r="AD38" i="1"/>
  <c r="L40" i="6" s="1"/>
  <c r="AD37" i="1"/>
  <c r="L39" i="6" s="1"/>
  <c r="AD36" i="1"/>
  <c r="L38" i="6" s="1"/>
  <c r="AD35" i="1"/>
  <c r="L37" i="6" s="1"/>
  <c r="AD34" i="1"/>
  <c r="L36" i="6" s="1"/>
  <c r="AD33" i="1"/>
  <c r="L35" i="6" s="1"/>
  <c r="AD32" i="1"/>
  <c r="L34" i="6" s="1"/>
  <c r="AD31" i="1"/>
  <c r="L33" i="6" s="1"/>
  <c r="AD30" i="1"/>
  <c r="L32" i="6" s="1"/>
  <c r="AD29" i="1"/>
  <c r="L31" i="6" s="1"/>
  <c r="AD28" i="1"/>
  <c r="L30" i="6" s="1"/>
  <c r="AD27" i="1"/>
  <c r="L29" i="6" s="1"/>
  <c r="AD26" i="1"/>
  <c r="L28" i="6" s="1"/>
  <c r="AD25" i="1"/>
  <c r="L27" i="6" s="1"/>
  <c r="AD24" i="1"/>
  <c r="L26" i="6" s="1"/>
  <c r="AD23" i="1"/>
  <c r="L25" i="6" s="1"/>
  <c r="AD22" i="1"/>
  <c r="L24" i="6" s="1"/>
  <c r="AD21" i="1"/>
  <c r="L23" i="6" s="1"/>
  <c r="AD20" i="1"/>
  <c r="L22" i="6" s="1"/>
  <c r="AD19" i="1"/>
  <c r="L21" i="6" s="1"/>
  <c r="AD18" i="1"/>
  <c r="L20" i="6" s="1"/>
  <c r="AD17" i="1"/>
  <c r="L19" i="6" s="1"/>
  <c r="AD16" i="1"/>
  <c r="L18" i="6" s="1"/>
  <c r="AD15" i="1"/>
  <c r="L17" i="6" s="1"/>
  <c r="AD14" i="1"/>
  <c r="L16" i="6" s="1"/>
  <c r="AD13" i="1"/>
  <c r="L15" i="6" s="1"/>
  <c r="AD12" i="1"/>
  <c r="L14" i="6" s="1"/>
  <c r="AD11" i="1"/>
  <c r="L13" i="6" s="1"/>
  <c r="AD10" i="1"/>
  <c r="L12" i="6" s="1"/>
  <c r="AD9" i="1"/>
  <c r="L11" i="6" s="1"/>
  <c r="AD8" i="1"/>
  <c r="L10" i="6" s="1"/>
  <c r="AD7" i="1"/>
  <c r="L9" i="6" s="1"/>
  <c r="AD6" i="1"/>
  <c r="L8" i="6" s="1"/>
  <c r="AD5" i="1"/>
  <c r="L7" i="6" s="1"/>
  <c r="AD4" i="1"/>
  <c r="L6" i="6" s="1"/>
  <c r="X49" i="1"/>
  <c r="N49" i="1" s="1"/>
  <c r="X48" i="1"/>
  <c r="N48" i="1" s="1"/>
  <c r="X47" i="1"/>
  <c r="N47" i="1" s="1"/>
  <c r="X46" i="1"/>
  <c r="N46" i="1" s="1"/>
  <c r="X45" i="1"/>
  <c r="N45" i="1" s="1"/>
  <c r="X44" i="1"/>
  <c r="N44" i="1" s="1"/>
  <c r="X43" i="1"/>
  <c r="N43" i="1" s="1"/>
  <c r="X42" i="1"/>
  <c r="N42" i="1" s="1"/>
  <c r="X41" i="1"/>
  <c r="N41" i="1" s="1"/>
  <c r="X40" i="1"/>
  <c r="N40" i="1" s="1"/>
  <c r="X39" i="1"/>
  <c r="N39" i="1" s="1"/>
  <c r="X38" i="1"/>
  <c r="N38" i="1" s="1"/>
  <c r="X37" i="1"/>
  <c r="N37" i="1" s="1"/>
  <c r="X36" i="1"/>
  <c r="N36" i="1" s="1"/>
  <c r="X35" i="1"/>
  <c r="N35" i="1" s="1"/>
  <c r="X34" i="1"/>
  <c r="N34" i="1" s="1"/>
  <c r="X33" i="1"/>
  <c r="N33" i="1" s="1"/>
  <c r="X32" i="1"/>
  <c r="N32" i="1" s="1"/>
  <c r="X31" i="1"/>
  <c r="N31" i="1" s="1"/>
  <c r="X30" i="1"/>
  <c r="N30" i="1" s="1"/>
  <c r="X29" i="1"/>
  <c r="N29" i="1" s="1"/>
  <c r="X28" i="1"/>
  <c r="N28" i="1" s="1"/>
  <c r="X27" i="1"/>
  <c r="N27" i="1" s="1"/>
  <c r="X26" i="1"/>
  <c r="N26" i="1" s="1"/>
  <c r="X25" i="1"/>
  <c r="N25" i="1" s="1"/>
  <c r="X24" i="1"/>
  <c r="N24" i="1" s="1"/>
  <c r="X23" i="1"/>
  <c r="N23" i="1" s="1"/>
  <c r="X22" i="1"/>
  <c r="N22" i="1" s="1"/>
  <c r="X21" i="1"/>
  <c r="N21" i="1" s="1"/>
  <c r="X20" i="1"/>
  <c r="N20" i="1" s="1"/>
  <c r="X19" i="1"/>
  <c r="N19" i="1" s="1"/>
  <c r="X18" i="1"/>
  <c r="N18" i="1" s="1"/>
  <c r="X17" i="1"/>
  <c r="N17" i="1" s="1"/>
  <c r="X16" i="1"/>
  <c r="N16" i="1" s="1"/>
  <c r="X15" i="1"/>
  <c r="N15" i="1" s="1"/>
  <c r="X14" i="1"/>
  <c r="N14" i="1" s="1"/>
  <c r="X13" i="1"/>
  <c r="N13" i="1" s="1"/>
  <c r="X12" i="1"/>
  <c r="N12" i="1" s="1"/>
  <c r="X11" i="1"/>
  <c r="N11" i="1" s="1"/>
  <c r="X10" i="1"/>
  <c r="N10" i="1" s="1"/>
  <c r="X9" i="1"/>
  <c r="N9" i="1" s="1"/>
  <c r="X8" i="1"/>
  <c r="N8" i="1" s="1"/>
  <c r="X7" i="1"/>
  <c r="N7" i="1" s="1"/>
  <c r="X6" i="1"/>
  <c r="N6" i="1" s="1"/>
  <c r="X5" i="1"/>
  <c r="N5" i="1" s="1"/>
  <c r="X4" i="1"/>
  <c r="N4" i="1" s="1"/>
  <c r="Y5" i="1"/>
  <c r="Y6" i="1" s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32" i="1" s="1"/>
  <c r="Y33" i="1" s="1"/>
  <c r="Y34" i="1" s="1"/>
  <c r="Y35" i="1" s="1"/>
  <c r="Y36" i="1" s="1"/>
  <c r="Y37" i="1" s="1"/>
  <c r="Y38" i="1" s="1"/>
  <c r="Y39" i="1" s="1"/>
  <c r="Y40" i="1" s="1"/>
  <c r="Y41" i="1" s="1"/>
  <c r="Y42" i="1" s="1"/>
  <c r="Y43" i="1" s="1"/>
  <c r="Y44" i="1" s="1"/>
  <c r="Y45" i="1" s="1"/>
  <c r="Y46" i="1" s="1"/>
  <c r="Y47" i="1" s="1"/>
  <c r="Y48" i="1" s="1"/>
  <c r="Y49" i="1" s="1"/>
  <c r="AF8" i="1" l="1"/>
  <c r="R10" i="5" s="1"/>
  <c r="O10" i="6" s="1"/>
  <c r="AF24" i="1"/>
  <c r="R26" i="5" s="1"/>
  <c r="O26" i="6" s="1"/>
  <c r="AF48" i="1"/>
  <c r="R50" i="5" s="1"/>
  <c r="O50" i="6" s="1"/>
  <c r="AF16" i="1"/>
  <c r="R18" i="5" s="1"/>
  <c r="O18" i="6" s="1"/>
  <c r="AF40" i="1"/>
  <c r="R42" i="5" s="1"/>
  <c r="O42" i="6" s="1"/>
  <c r="AF10" i="1"/>
  <c r="R12" i="5" s="1"/>
  <c r="O12" i="6" s="1"/>
  <c r="AF42" i="1"/>
  <c r="R44" i="5" s="1"/>
  <c r="O44" i="6" s="1"/>
  <c r="AF26" i="1"/>
  <c r="R28" i="5" s="1"/>
  <c r="O28" i="6" s="1"/>
  <c r="AF18" i="1"/>
  <c r="R20" i="5" s="1"/>
  <c r="O20" i="6" s="1"/>
  <c r="AF6" i="1"/>
  <c r="R8" i="5" s="1"/>
  <c r="O8" i="6" s="1"/>
  <c r="AF14" i="1"/>
  <c r="R16" i="5" s="1"/>
  <c r="O16" i="6" s="1"/>
  <c r="AF22" i="1"/>
  <c r="R24" i="5" s="1"/>
  <c r="O24" i="6" s="1"/>
  <c r="AF38" i="1"/>
  <c r="R40" i="5" s="1"/>
  <c r="O40" i="6" s="1"/>
  <c r="AF46" i="1"/>
  <c r="R48" i="5" s="1"/>
  <c r="O48" i="6" s="1"/>
  <c r="AF7" i="1"/>
  <c r="R9" i="5" s="1"/>
  <c r="O9" i="6" s="1"/>
  <c r="AF15" i="1"/>
  <c r="R17" i="5" s="1"/>
  <c r="O17" i="6" s="1"/>
  <c r="AF23" i="1"/>
  <c r="R25" i="5" s="1"/>
  <c r="O25" i="6" s="1"/>
  <c r="AF39" i="1"/>
  <c r="R41" i="5" s="1"/>
  <c r="O41" i="6" s="1"/>
  <c r="AF47" i="1"/>
  <c r="R49" i="5" s="1"/>
  <c r="O49" i="6" s="1"/>
  <c r="AF9" i="1"/>
  <c r="R11" i="5" s="1"/>
  <c r="O11" i="6" s="1"/>
  <c r="AF17" i="1"/>
  <c r="R19" i="5" s="1"/>
  <c r="O19" i="6" s="1"/>
  <c r="AF25" i="1"/>
  <c r="R27" i="5" s="1"/>
  <c r="O27" i="6" s="1"/>
  <c r="AF41" i="1"/>
  <c r="R43" i="5" s="1"/>
  <c r="O43" i="6" s="1"/>
  <c r="AF49" i="1"/>
  <c r="R51" i="5" s="1"/>
  <c r="O51" i="6" s="1"/>
  <c r="AF11" i="1"/>
  <c r="R13" i="5" s="1"/>
  <c r="O13" i="6" s="1"/>
  <c r="AF19" i="1"/>
  <c r="R21" i="5" s="1"/>
  <c r="O21" i="6" s="1"/>
  <c r="AF27" i="1"/>
  <c r="R29" i="5" s="1"/>
  <c r="O29" i="6" s="1"/>
  <c r="AF43" i="1"/>
  <c r="R45" i="5" s="1"/>
  <c r="O45" i="6" s="1"/>
  <c r="AF4" i="1"/>
  <c r="R6" i="5" s="1"/>
  <c r="O6" i="6" s="1"/>
  <c r="AF12" i="1"/>
  <c r="R14" i="5" s="1"/>
  <c r="O14" i="6" s="1"/>
  <c r="AF20" i="1"/>
  <c r="R22" i="5" s="1"/>
  <c r="O22" i="6" s="1"/>
  <c r="AF28" i="1"/>
  <c r="R30" i="5" s="1"/>
  <c r="O30" i="6" s="1"/>
  <c r="AF44" i="1"/>
  <c r="R46" i="5" s="1"/>
  <c r="O46" i="6" s="1"/>
  <c r="AF5" i="1"/>
  <c r="R7" i="5" s="1"/>
  <c r="O7" i="6" s="1"/>
  <c r="AF13" i="1"/>
  <c r="R15" i="5" s="1"/>
  <c r="O15" i="6" s="1"/>
  <c r="AF21" i="1"/>
  <c r="R23" i="5" s="1"/>
  <c r="O23" i="6" s="1"/>
  <c r="AF29" i="1"/>
  <c r="R31" i="5" s="1"/>
  <c r="O31" i="6" s="1"/>
  <c r="AF37" i="1"/>
  <c r="R39" i="5" s="1"/>
  <c r="O39" i="6" s="1"/>
  <c r="AF45" i="1"/>
  <c r="R47" i="5" s="1"/>
  <c r="O47" i="6" s="1"/>
  <c r="A6" i="6"/>
  <c r="Q7" i="5" l="1"/>
  <c r="Q8" i="5" s="1"/>
  <c r="Q9" i="5" s="1"/>
  <c r="Q10" i="5" s="1"/>
  <c r="Q11" i="5" s="1"/>
  <c r="Q12" i="5" s="1"/>
  <c r="Q13" i="5" s="1"/>
  <c r="Q14" i="5" s="1"/>
  <c r="Q15" i="5" s="1"/>
  <c r="Q16" i="5" s="1"/>
  <c r="Q17" i="5" s="1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L51" i="5" l="1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K51" i="5"/>
  <c r="K50" i="5"/>
  <c r="K49" i="5"/>
  <c r="K48" i="5"/>
  <c r="K47" i="5"/>
  <c r="K46" i="5"/>
  <c r="K45" i="5"/>
  <c r="K44" i="5"/>
  <c r="K43" i="5"/>
  <c r="K42" i="5"/>
  <c r="K41" i="5"/>
  <c r="K40" i="5"/>
  <c r="K39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  <c r="K8" i="5"/>
  <c r="K7" i="5"/>
  <c r="K6" i="5"/>
  <c r="J51" i="5"/>
  <c r="G51" i="6" s="1"/>
  <c r="J50" i="5"/>
  <c r="G50" i="6" s="1"/>
  <c r="J49" i="5"/>
  <c r="G49" i="6" s="1"/>
  <c r="J48" i="5"/>
  <c r="G48" i="6" s="1"/>
  <c r="J47" i="5"/>
  <c r="G47" i="6" s="1"/>
  <c r="J46" i="5"/>
  <c r="G46" i="6" s="1"/>
  <c r="J45" i="5"/>
  <c r="G45" i="6" s="1"/>
  <c r="J44" i="5"/>
  <c r="G44" i="6" s="1"/>
  <c r="J43" i="5"/>
  <c r="G43" i="6" s="1"/>
  <c r="J42" i="5"/>
  <c r="G42" i="6" s="1"/>
  <c r="J41" i="5"/>
  <c r="G41" i="6" s="1"/>
  <c r="J40" i="5"/>
  <c r="G40" i="6" s="1"/>
  <c r="J39" i="5"/>
  <c r="G39" i="6" s="1"/>
  <c r="J31" i="5"/>
  <c r="G31" i="6" s="1"/>
  <c r="J30" i="5"/>
  <c r="G30" i="6" s="1"/>
  <c r="J29" i="5"/>
  <c r="G29" i="6" s="1"/>
  <c r="J28" i="5"/>
  <c r="G28" i="6" s="1"/>
  <c r="J27" i="5"/>
  <c r="G27" i="6" s="1"/>
  <c r="J26" i="5"/>
  <c r="G26" i="6" s="1"/>
  <c r="J25" i="5"/>
  <c r="G25" i="6" s="1"/>
  <c r="J24" i="5"/>
  <c r="G24" i="6" s="1"/>
  <c r="J23" i="5"/>
  <c r="G23" i="6" s="1"/>
  <c r="J22" i="5"/>
  <c r="G22" i="6" s="1"/>
  <c r="J21" i="5"/>
  <c r="G21" i="6" s="1"/>
  <c r="J20" i="5"/>
  <c r="G20" i="6" s="1"/>
  <c r="J19" i="5"/>
  <c r="G19" i="6" s="1"/>
  <c r="J18" i="5"/>
  <c r="G18" i="6" s="1"/>
  <c r="J17" i="5"/>
  <c r="G17" i="6" s="1"/>
  <c r="J16" i="5"/>
  <c r="G16" i="6" s="1"/>
  <c r="J15" i="5"/>
  <c r="G15" i="6" s="1"/>
  <c r="J14" i="5"/>
  <c r="G14" i="6" s="1"/>
  <c r="J13" i="5"/>
  <c r="G13" i="6" s="1"/>
  <c r="J12" i="5"/>
  <c r="G12" i="6" s="1"/>
  <c r="J11" i="5"/>
  <c r="G11" i="6" s="1"/>
  <c r="J10" i="5"/>
  <c r="G10" i="6" s="1"/>
  <c r="J9" i="5"/>
  <c r="G9" i="6" s="1"/>
  <c r="J8" i="5"/>
  <c r="G8" i="6" s="1"/>
  <c r="J7" i="5"/>
  <c r="G7" i="6" s="1"/>
  <c r="J6" i="5"/>
  <c r="G6" i="6" s="1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A7" i="5"/>
  <c r="A8" i="5" l="1"/>
  <c r="A7" i="6"/>
  <c r="AE49" i="4"/>
  <c r="A9" i="5" l="1"/>
  <c r="A8" i="6"/>
  <c r="AF41" i="4"/>
  <c r="AF24" i="4"/>
  <c r="AF23" i="4"/>
  <c r="AF22" i="4"/>
  <c r="AF21" i="4"/>
  <c r="AF18" i="4"/>
  <c r="AF17" i="4"/>
  <c r="AF5" i="4"/>
  <c r="AF3" i="4"/>
  <c r="F13" i="3"/>
  <c r="A10" i="5" l="1"/>
  <c r="A9" i="6"/>
  <c r="G13" i="3"/>
  <c r="G3" i="3"/>
  <c r="AE41" i="4"/>
  <c r="AE24" i="4"/>
  <c r="AE23" i="4"/>
  <c r="AE22" i="4"/>
  <c r="AE21" i="4"/>
  <c r="AE18" i="4"/>
  <c r="AE17" i="4"/>
  <c r="AE5" i="4"/>
  <c r="AD41" i="4"/>
  <c r="AD24" i="4"/>
  <c r="AD23" i="4"/>
  <c r="AK24" i="4" s="1"/>
  <c r="AD22" i="4"/>
  <c r="AK23" i="4" s="1"/>
  <c r="AD21" i="4"/>
  <c r="AD18" i="4"/>
  <c r="AD17" i="4"/>
  <c r="AK18" i="4" s="1"/>
  <c r="AD5" i="4"/>
  <c r="AD3" i="4"/>
  <c r="AK4" i="4" s="1"/>
  <c r="AJ50" i="4"/>
  <c r="Z4" i="4"/>
  <c r="Z5" i="4" s="1"/>
  <c r="Z6" i="4" s="1"/>
  <c r="Z7" i="4" s="1"/>
  <c r="Z8" i="4" s="1"/>
  <c r="Z9" i="4" s="1"/>
  <c r="Z10" i="4" s="1"/>
  <c r="Z11" i="4" s="1"/>
  <c r="Z12" i="4" s="1"/>
  <c r="Z13" i="4" s="1"/>
  <c r="Z14" i="4" s="1"/>
  <c r="Z15" i="4" s="1"/>
  <c r="Z16" i="4" s="1"/>
  <c r="Z17" i="4" s="1"/>
  <c r="Z18" i="4" s="1"/>
  <c r="Z19" i="4" s="1"/>
  <c r="Z20" i="4" s="1"/>
  <c r="Z21" i="4" s="1"/>
  <c r="Z22" i="4" s="1"/>
  <c r="Z23" i="4" s="1"/>
  <c r="Z24" i="4" s="1"/>
  <c r="Z25" i="4" s="1"/>
  <c r="Z26" i="4" s="1"/>
  <c r="Z27" i="4" s="1"/>
  <c r="Z28" i="4" s="1"/>
  <c r="Z29" i="4" s="1"/>
  <c r="Z30" i="4" s="1"/>
  <c r="Z31" i="4" s="1"/>
  <c r="Z32" i="4" s="1"/>
  <c r="Z33" i="4" s="1"/>
  <c r="Z34" i="4" s="1"/>
  <c r="Z35" i="4" s="1"/>
  <c r="Z36" i="4" s="1"/>
  <c r="Z37" i="4" s="1"/>
  <c r="Z38" i="4" s="1"/>
  <c r="Z39" i="4" s="1"/>
  <c r="Z40" i="4" s="1"/>
  <c r="Z41" i="4" s="1"/>
  <c r="Z42" i="4" s="1"/>
  <c r="Z43" i="4" s="1"/>
  <c r="Z44" i="4" s="1"/>
  <c r="Z45" i="4" s="1"/>
  <c r="Z46" i="4" s="1"/>
  <c r="Z47" i="4" s="1"/>
  <c r="Z48" i="4" s="1"/>
  <c r="S50" i="4"/>
  <c r="V50" i="4"/>
  <c r="X50" i="4"/>
  <c r="AE3" i="4"/>
  <c r="E14" i="3"/>
  <c r="G14" i="3" s="1"/>
  <c r="U4" i="4"/>
  <c r="U5" i="4" s="1"/>
  <c r="U6" i="4" s="1"/>
  <c r="U7" i="4" s="1"/>
  <c r="U8" i="4" s="1"/>
  <c r="U9" i="4" s="1"/>
  <c r="U10" i="4" s="1"/>
  <c r="U11" i="4" s="1"/>
  <c r="U12" i="4" s="1"/>
  <c r="U13" i="4" s="1"/>
  <c r="U14" i="4" s="1"/>
  <c r="U15" i="4" s="1"/>
  <c r="U16" i="4" s="1"/>
  <c r="U17" i="4" s="1"/>
  <c r="U18" i="4" s="1"/>
  <c r="U19" i="4" s="1"/>
  <c r="U20" i="4" s="1"/>
  <c r="U21" i="4" s="1"/>
  <c r="U22" i="4" s="1"/>
  <c r="U23" i="4" s="1"/>
  <c r="U24" i="4" s="1"/>
  <c r="U25" i="4" s="1"/>
  <c r="U26" i="4" s="1"/>
  <c r="U27" i="4" s="1"/>
  <c r="U28" i="4" s="1"/>
  <c r="U29" i="4" s="1"/>
  <c r="U30" i="4" s="1"/>
  <c r="U31" i="4" s="1"/>
  <c r="U32" i="4" s="1"/>
  <c r="U33" i="4" s="1"/>
  <c r="U34" i="4" s="1"/>
  <c r="U35" i="4" s="1"/>
  <c r="U36" i="4" s="1"/>
  <c r="U37" i="4" s="1"/>
  <c r="U38" i="4" s="1"/>
  <c r="U39" i="4" s="1"/>
  <c r="U40" i="4" s="1"/>
  <c r="U41" i="4" s="1"/>
  <c r="U42" i="4" s="1"/>
  <c r="U43" i="4" s="1"/>
  <c r="U44" i="4" s="1"/>
  <c r="U45" i="4" s="1"/>
  <c r="U46" i="4" s="1"/>
  <c r="U47" i="4" s="1"/>
  <c r="U48" i="4" s="1"/>
  <c r="AK6" i="4" l="1"/>
  <c r="AK5" i="4"/>
  <c r="AK22" i="4"/>
  <c r="A11" i="5"/>
  <c r="A10" i="6"/>
  <c r="E15" i="3"/>
  <c r="A12" i="5" l="1"/>
  <c r="A11" i="6"/>
  <c r="E16" i="3"/>
  <c r="G15" i="3"/>
  <c r="F14" i="3"/>
  <c r="F3" i="3"/>
  <c r="E4" i="3"/>
  <c r="G4" i="3" s="1"/>
  <c r="C22" i="3"/>
  <c r="C21" i="3"/>
  <c r="C20" i="3"/>
  <c r="B22" i="3"/>
  <c r="B21" i="3"/>
  <c r="B20" i="3"/>
  <c r="B19" i="3"/>
  <c r="C19" i="3" s="1"/>
  <c r="A23" i="3"/>
  <c r="A24" i="3" s="1"/>
  <c r="AJ21" i="4"/>
  <c r="D12" i="3"/>
  <c r="D10" i="3"/>
  <c r="D6" i="3"/>
  <c r="B3" i="3"/>
  <c r="C3" i="3" s="1"/>
  <c r="B4" i="3"/>
  <c r="C4" i="3" s="1"/>
  <c r="B5" i="3"/>
  <c r="C5" i="3" s="1"/>
  <c r="B6" i="3"/>
  <c r="C6" i="3" s="1"/>
  <c r="B7" i="3"/>
  <c r="B8" i="3"/>
  <c r="B9" i="3"/>
  <c r="B10" i="3"/>
  <c r="C10" i="3" s="1"/>
  <c r="B11" i="3"/>
  <c r="C11" i="3" s="1"/>
  <c r="B12" i="3"/>
  <c r="C12" i="3" s="1"/>
  <c r="B13" i="3"/>
  <c r="C13" i="3" s="1"/>
  <c r="B14" i="3"/>
  <c r="C14" i="3" s="1"/>
  <c r="D14" i="3" s="1"/>
  <c r="B15" i="3"/>
  <c r="C15" i="3" s="1"/>
  <c r="D15" i="3"/>
  <c r="B16" i="3"/>
  <c r="C16" i="3" s="1"/>
  <c r="D16" i="3" s="1"/>
  <c r="B17" i="3"/>
  <c r="C17" i="3" s="1"/>
  <c r="D17" i="3" s="1"/>
  <c r="B18" i="3"/>
  <c r="C18" i="3" s="1"/>
  <c r="D18" i="3" s="1"/>
  <c r="AI48" i="4"/>
  <c r="AI47" i="4"/>
  <c r="AI46" i="4"/>
  <c r="AI45" i="4"/>
  <c r="AI44" i="4"/>
  <c r="AI43" i="4"/>
  <c r="AI42" i="4"/>
  <c r="AI41" i="4"/>
  <c r="AI40" i="4"/>
  <c r="AI39" i="4"/>
  <c r="AI38" i="4"/>
  <c r="AI37" i="4"/>
  <c r="AI36" i="4"/>
  <c r="AI35" i="4"/>
  <c r="AI34" i="4"/>
  <c r="AI33" i="4"/>
  <c r="AI32" i="4"/>
  <c r="AI31" i="4"/>
  <c r="AI30" i="4"/>
  <c r="AI29" i="4"/>
  <c r="AI28" i="4"/>
  <c r="AI27" i="4"/>
  <c r="AI26" i="4"/>
  <c r="AI25" i="4"/>
  <c r="AI24" i="4"/>
  <c r="AI23" i="4"/>
  <c r="AI22" i="4"/>
  <c r="AI21" i="4"/>
  <c r="AI20" i="4"/>
  <c r="AI19" i="4"/>
  <c r="AI18" i="4"/>
  <c r="AI17" i="4"/>
  <c r="AI16" i="4"/>
  <c r="AI15" i="4"/>
  <c r="AI14" i="4"/>
  <c r="AI13" i="4"/>
  <c r="AI12" i="4"/>
  <c r="AI11" i="4"/>
  <c r="AI10" i="4"/>
  <c r="AI9" i="4"/>
  <c r="AI8" i="4"/>
  <c r="AI7" i="4"/>
  <c r="AI6" i="4"/>
  <c r="AI5" i="4"/>
  <c r="AI4" i="4"/>
  <c r="AI3" i="4"/>
  <c r="A25" i="3" l="1"/>
  <c r="B24" i="3"/>
  <c r="C24" i="3" s="1"/>
  <c r="C9" i="3"/>
  <c r="D9" i="3" s="1"/>
  <c r="B23" i="3"/>
  <c r="C23" i="3" s="1"/>
  <c r="C8" i="3"/>
  <c r="D8" i="3" s="1"/>
  <c r="D7" i="3"/>
  <c r="C7" i="3"/>
  <c r="A13" i="5"/>
  <c r="A12" i="6"/>
  <c r="AI49" i="4"/>
  <c r="E5" i="3"/>
  <c r="F4" i="3"/>
  <c r="E17" i="3"/>
  <c r="G16" i="3"/>
  <c r="F15" i="3"/>
  <c r="F16" i="3"/>
  <c r="D11" i="3"/>
  <c r="D4" i="3"/>
  <c r="D5" i="3"/>
  <c r="D13" i="3"/>
  <c r="J35" i="4"/>
  <c r="J34" i="4"/>
  <c r="J33" i="4"/>
  <c r="J32" i="4"/>
  <c r="J31" i="4"/>
  <c r="J30" i="4"/>
  <c r="J29" i="4"/>
  <c r="M48" i="4"/>
  <c r="G48" i="4"/>
  <c r="D48" i="4"/>
  <c r="M47" i="4"/>
  <c r="O47" i="4" s="1"/>
  <c r="G47" i="4"/>
  <c r="D47" i="4"/>
  <c r="M46" i="4"/>
  <c r="O46" i="4" s="1"/>
  <c r="G46" i="4"/>
  <c r="D46" i="4"/>
  <c r="M45" i="4"/>
  <c r="O45" i="4" s="1"/>
  <c r="G45" i="4"/>
  <c r="D45" i="4"/>
  <c r="M44" i="4"/>
  <c r="O44" i="4" s="1"/>
  <c r="G44" i="4"/>
  <c r="D44" i="4"/>
  <c r="M43" i="4"/>
  <c r="O43" i="4" s="1"/>
  <c r="G43" i="4"/>
  <c r="D43" i="4"/>
  <c r="M42" i="4"/>
  <c r="O42" i="4" s="1"/>
  <c r="G42" i="4"/>
  <c r="D42" i="4"/>
  <c r="M41" i="4"/>
  <c r="O41" i="4" s="1"/>
  <c r="G41" i="4"/>
  <c r="D41" i="4"/>
  <c r="M40" i="4"/>
  <c r="O40" i="4" s="1"/>
  <c r="G40" i="4"/>
  <c r="D40" i="4"/>
  <c r="M39" i="4"/>
  <c r="O39" i="4" s="1"/>
  <c r="G39" i="4"/>
  <c r="D39" i="4"/>
  <c r="M38" i="4"/>
  <c r="O38" i="4" s="1"/>
  <c r="G38" i="4"/>
  <c r="D38" i="4"/>
  <c r="M37" i="4"/>
  <c r="O37" i="4" s="1"/>
  <c r="G37" i="4"/>
  <c r="D37" i="4"/>
  <c r="M36" i="4"/>
  <c r="O36" i="4" s="1"/>
  <c r="G36" i="4"/>
  <c r="D36" i="4"/>
  <c r="M35" i="4"/>
  <c r="O35" i="4" s="1"/>
  <c r="G35" i="4"/>
  <c r="D35" i="4"/>
  <c r="M34" i="4"/>
  <c r="O34" i="4" s="1"/>
  <c r="G34" i="4"/>
  <c r="D34" i="4"/>
  <c r="M33" i="4"/>
  <c r="O33" i="4" s="1"/>
  <c r="G33" i="4"/>
  <c r="D33" i="4"/>
  <c r="M32" i="4"/>
  <c r="O32" i="4" s="1"/>
  <c r="G32" i="4"/>
  <c r="D32" i="4"/>
  <c r="M31" i="4"/>
  <c r="O31" i="4" s="1"/>
  <c r="G31" i="4"/>
  <c r="D31" i="4"/>
  <c r="M30" i="4"/>
  <c r="O30" i="4" s="1"/>
  <c r="G30" i="4"/>
  <c r="D30" i="4"/>
  <c r="M29" i="4"/>
  <c r="O29" i="4" s="1"/>
  <c r="G29" i="4"/>
  <c r="D29" i="4"/>
  <c r="M28" i="4"/>
  <c r="O28" i="4" s="1"/>
  <c r="G28" i="4"/>
  <c r="D28" i="4"/>
  <c r="M27" i="4"/>
  <c r="O27" i="4" s="1"/>
  <c r="G27" i="4"/>
  <c r="D27" i="4"/>
  <c r="M26" i="4"/>
  <c r="O26" i="4" s="1"/>
  <c r="G26" i="4"/>
  <c r="D26" i="4"/>
  <c r="M25" i="4"/>
  <c r="O25" i="4" s="1"/>
  <c r="G25" i="4"/>
  <c r="D25" i="4"/>
  <c r="M24" i="4"/>
  <c r="O24" i="4" s="1"/>
  <c r="G24" i="4"/>
  <c r="D24" i="4"/>
  <c r="M23" i="4"/>
  <c r="O23" i="4" s="1"/>
  <c r="G23" i="4"/>
  <c r="D23" i="4"/>
  <c r="M22" i="4"/>
  <c r="O22" i="4" s="1"/>
  <c r="G22" i="4"/>
  <c r="D22" i="4"/>
  <c r="M21" i="4"/>
  <c r="O21" i="4" s="1"/>
  <c r="G21" i="4"/>
  <c r="D21" i="4"/>
  <c r="M20" i="4"/>
  <c r="O20" i="4" s="1"/>
  <c r="G20" i="4"/>
  <c r="D20" i="4"/>
  <c r="M19" i="4"/>
  <c r="O19" i="4" s="1"/>
  <c r="G19" i="4"/>
  <c r="D19" i="4"/>
  <c r="M18" i="4"/>
  <c r="O18" i="4" s="1"/>
  <c r="G18" i="4"/>
  <c r="D18" i="4"/>
  <c r="M17" i="4"/>
  <c r="O17" i="4" s="1"/>
  <c r="G17" i="4"/>
  <c r="D17" i="4"/>
  <c r="M16" i="4"/>
  <c r="O16" i="4" s="1"/>
  <c r="G16" i="4"/>
  <c r="D16" i="4"/>
  <c r="M15" i="4"/>
  <c r="O15" i="4" s="1"/>
  <c r="G15" i="4"/>
  <c r="D15" i="4"/>
  <c r="M14" i="4"/>
  <c r="O14" i="4" s="1"/>
  <c r="G14" i="4"/>
  <c r="D14" i="4"/>
  <c r="M13" i="4"/>
  <c r="O13" i="4" s="1"/>
  <c r="G13" i="4"/>
  <c r="D13" i="4"/>
  <c r="M12" i="4"/>
  <c r="O12" i="4" s="1"/>
  <c r="G12" i="4"/>
  <c r="D12" i="4"/>
  <c r="M11" i="4"/>
  <c r="O11" i="4" s="1"/>
  <c r="G11" i="4"/>
  <c r="D11" i="4"/>
  <c r="M10" i="4"/>
  <c r="O10" i="4" s="1"/>
  <c r="G10" i="4"/>
  <c r="D10" i="4"/>
  <c r="M9" i="4"/>
  <c r="O9" i="4" s="1"/>
  <c r="G9" i="4"/>
  <c r="D9" i="4"/>
  <c r="M8" i="4"/>
  <c r="O8" i="4" s="1"/>
  <c r="G8" i="4"/>
  <c r="D8" i="4"/>
  <c r="M7" i="4"/>
  <c r="O7" i="4" s="1"/>
  <c r="G7" i="4"/>
  <c r="D7" i="4"/>
  <c r="M6" i="4"/>
  <c r="O6" i="4" s="1"/>
  <c r="G6" i="4"/>
  <c r="D6" i="4"/>
  <c r="M5" i="4"/>
  <c r="G5" i="4"/>
  <c r="D5" i="4"/>
  <c r="M4" i="4"/>
  <c r="G4" i="4"/>
  <c r="D4" i="4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M3" i="4"/>
  <c r="O3" i="4" s="1"/>
  <c r="G3" i="4"/>
  <c r="D3" i="4"/>
  <c r="P30" i="4" l="1"/>
  <c r="J33" i="5"/>
  <c r="G33" i="6" s="1"/>
  <c r="P34" i="4"/>
  <c r="J37" i="5"/>
  <c r="G37" i="6" s="1"/>
  <c r="P35" i="4"/>
  <c r="Q35" i="4" s="1"/>
  <c r="M38" i="5" s="1"/>
  <c r="N38" i="6" s="1"/>
  <c r="J38" i="5"/>
  <c r="G38" i="6" s="1"/>
  <c r="P31" i="4"/>
  <c r="J34" i="5"/>
  <c r="G34" i="6" s="1"/>
  <c r="P29" i="4"/>
  <c r="J32" i="5"/>
  <c r="G32" i="6" s="1"/>
  <c r="R29" i="4"/>
  <c r="V29" i="4" s="1"/>
  <c r="P32" i="4"/>
  <c r="J35" i="5"/>
  <c r="G35" i="6" s="1"/>
  <c r="R30" i="4"/>
  <c r="V30" i="4" s="1"/>
  <c r="P33" i="4"/>
  <c r="J36" i="5"/>
  <c r="G36" i="6" s="1"/>
  <c r="A26" i="3"/>
  <c r="B25" i="3"/>
  <c r="C25" i="3" s="1"/>
  <c r="A14" i="5"/>
  <c r="A13" i="6"/>
  <c r="Q5" i="4"/>
  <c r="M8" i="5" s="1"/>
  <c r="N8" i="6" s="1"/>
  <c r="R13" i="4"/>
  <c r="V13" i="4" s="1"/>
  <c r="Q13" i="4"/>
  <c r="R21" i="4"/>
  <c r="V21" i="4" s="1"/>
  <c r="Q21" i="4"/>
  <c r="R37" i="4"/>
  <c r="Q37" i="4"/>
  <c r="Q42" i="4"/>
  <c r="R42" i="4"/>
  <c r="Q32" i="4"/>
  <c r="M35" i="5" s="1"/>
  <c r="N35" i="6" s="1"/>
  <c r="Q33" i="4"/>
  <c r="Q11" i="4"/>
  <c r="M14" i="5" s="1"/>
  <c r="N14" i="6" s="1"/>
  <c r="R11" i="4"/>
  <c r="R19" i="4"/>
  <c r="V19" i="4" s="1"/>
  <c r="Q19" i="4"/>
  <c r="M22" i="5" s="1"/>
  <c r="N22" i="6" s="1"/>
  <c r="R40" i="4"/>
  <c r="Q40" i="4"/>
  <c r="M43" i="5" s="1"/>
  <c r="N43" i="6" s="1"/>
  <c r="R43" i="4"/>
  <c r="Q43" i="4"/>
  <c r="M46" i="5" s="1"/>
  <c r="N46" i="6" s="1"/>
  <c r="Q9" i="4"/>
  <c r="R9" i="4"/>
  <c r="S9" i="4" s="1"/>
  <c r="Q38" i="4"/>
  <c r="R38" i="4"/>
  <c r="Q4" i="4"/>
  <c r="M7" i="5" s="1"/>
  <c r="N7" i="6" s="1"/>
  <c r="Q12" i="4"/>
  <c r="M15" i="5" s="1"/>
  <c r="N15" i="6" s="1"/>
  <c r="R12" i="4"/>
  <c r="V12" i="4" s="1"/>
  <c r="R20" i="4"/>
  <c r="V20" i="4" s="1"/>
  <c r="Q20" i="4"/>
  <c r="M23" i="5" s="1"/>
  <c r="N23" i="6" s="1"/>
  <c r="Q28" i="4"/>
  <c r="M31" i="5" s="1"/>
  <c r="N31" i="6" s="1"/>
  <c r="R28" i="4"/>
  <c r="V28" i="4" s="1"/>
  <c r="Q41" i="4"/>
  <c r="R41" i="4"/>
  <c r="Q29" i="4"/>
  <c r="Q30" i="4"/>
  <c r="Q6" i="4"/>
  <c r="R6" i="4"/>
  <c r="V6" i="4" s="1"/>
  <c r="Q14" i="4"/>
  <c r="R14" i="4"/>
  <c r="Q22" i="4"/>
  <c r="R22" i="4"/>
  <c r="R27" i="4"/>
  <c r="V27" i="4" s="1"/>
  <c r="Q27" i="4"/>
  <c r="M30" i="5" s="1"/>
  <c r="N30" i="6" s="1"/>
  <c r="Q17" i="4"/>
  <c r="R17" i="4"/>
  <c r="V17" i="4" s="1"/>
  <c r="Q25" i="4"/>
  <c r="R25" i="4"/>
  <c r="Q46" i="4"/>
  <c r="R46" i="4"/>
  <c r="S46" i="4" s="1"/>
  <c r="Q31" i="4"/>
  <c r="M34" i="5" s="1"/>
  <c r="N34" i="6" s="1"/>
  <c r="E6" i="3"/>
  <c r="G5" i="3"/>
  <c r="F5" i="3"/>
  <c r="E18" i="3"/>
  <c r="G17" i="3"/>
  <c r="F17" i="3"/>
  <c r="W11" i="4"/>
  <c r="W14" i="4"/>
  <c r="W19" i="4"/>
  <c r="W22" i="4"/>
  <c r="W27" i="4"/>
  <c r="W30" i="4"/>
  <c r="W40" i="4"/>
  <c r="V43" i="4"/>
  <c r="W43" i="4"/>
  <c r="W17" i="4"/>
  <c r="W25" i="4"/>
  <c r="W33" i="4"/>
  <c r="W38" i="4"/>
  <c r="V38" i="4"/>
  <c r="Y46" i="4"/>
  <c r="W46" i="4"/>
  <c r="W29" i="4"/>
  <c r="W12" i="4"/>
  <c r="W20" i="4"/>
  <c r="W28" i="4"/>
  <c r="W41" i="4"/>
  <c r="W13" i="4"/>
  <c r="W21" i="4"/>
  <c r="W37" i="4"/>
  <c r="W42" i="4"/>
  <c r="W6" i="4"/>
  <c r="W9" i="4"/>
  <c r="W8" i="4"/>
  <c r="Y24" i="4"/>
  <c r="W24" i="4"/>
  <c r="R34" i="4"/>
  <c r="Y16" i="4"/>
  <c r="Y9" i="4"/>
  <c r="Y25" i="4"/>
  <c r="Y34" i="4"/>
  <c r="Y37" i="4"/>
  <c r="Y14" i="4"/>
  <c r="V22" i="4"/>
  <c r="Y33" i="4"/>
  <c r="Y17" i="4"/>
  <c r="Y11" i="4"/>
  <c r="Y43" i="4"/>
  <c r="Y47" i="4"/>
  <c r="Y5" i="4"/>
  <c r="R32" i="4"/>
  <c r="Y39" i="4"/>
  <c r="Y41" i="4"/>
  <c r="Y30" i="4"/>
  <c r="Y42" i="4"/>
  <c r="Y19" i="4"/>
  <c r="Y27" i="4"/>
  <c r="Y40" i="4"/>
  <c r="V46" i="4"/>
  <c r="R31" i="4"/>
  <c r="Y8" i="4"/>
  <c r="Y20" i="4"/>
  <c r="Y12" i="4"/>
  <c r="Y28" i="4"/>
  <c r="Y13" i="4"/>
  <c r="Y29" i="4"/>
  <c r="Y21" i="4"/>
  <c r="Y6" i="4"/>
  <c r="Y22" i="4"/>
  <c r="Y38" i="4"/>
  <c r="Y4" i="4"/>
  <c r="O4" i="4"/>
  <c r="R4" i="4" s="1"/>
  <c r="O5" i="4"/>
  <c r="R5" i="4" s="1"/>
  <c r="O48" i="4"/>
  <c r="R4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35" i="4" l="1"/>
  <c r="V35" i="4" s="1"/>
  <c r="H37" i="6"/>
  <c r="AF35" i="1"/>
  <c r="R37" i="5" s="1"/>
  <c r="O37" i="6" s="1"/>
  <c r="K37" i="5"/>
  <c r="A27" i="3"/>
  <c r="B26" i="3"/>
  <c r="C26" i="3" s="1"/>
  <c r="H32" i="6"/>
  <c r="AF30" i="1"/>
  <c r="R32" i="5" s="1"/>
  <c r="O32" i="6" s="1"/>
  <c r="K32" i="5"/>
  <c r="W35" i="4"/>
  <c r="H35" i="6"/>
  <c r="AF33" i="1"/>
  <c r="R35" i="5" s="1"/>
  <c r="O35" i="6" s="1"/>
  <c r="K35" i="5"/>
  <c r="Y35" i="4"/>
  <c r="H33" i="6"/>
  <c r="AF31" i="1"/>
  <c r="R33" i="5" s="1"/>
  <c r="O33" i="6" s="1"/>
  <c r="K33" i="5"/>
  <c r="H38" i="6"/>
  <c r="AF36" i="1"/>
  <c r="R38" i="5" s="1"/>
  <c r="O38" i="6" s="1"/>
  <c r="K38" i="5"/>
  <c r="H36" i="6"/>
  <c r="AF34" i="1"/>
  <c r="R36" i="5" s="1"/>
  <c r="O36" i="6" s="1"/>
  <c r="K36" i="5"/>
  <c r="H34" i="6"/>
  <c r="AF32" i="1"/>
  <c r="R34" i="5" s="1"/>
  <c r="O34" i="6" s="1"/>
  <c r="K34" i="5"/>
  <c r="R33" i="4"/>
  <c r="S5" i="4"/>
  <c r="AG29" i="1"/>
  <c r="S31" i="5"/>
  <c r="N31" i="5"/>
  <c r="AG44" i="1"/>
  <c r="S46" i="5"/>
  <c r="N46" i="5"/>
  <c r="AG36" i="1"/>
  <c r="S38" i="5"/>
  <c r="N38" i="5"/>
  <c r="AG12" i="1"/>
  <c r="S14" i="5"/>
  <c r="N14" i="5"/>
  <c r="AG41" i="1"/>
  <c r="S43" i="5"/>
  <c r="N43" i="5"/>
  <c r="AG21" i="1"/>
  <c r="S23" i="5"/>
  <c r="N23" i="5"/>
  <c r="AG28" i="1"/>
  <c r="S30" i="5"/>
  <c r="N30" i="5"/>
  <c r="AG32" i="1"/>
  <c r="S34" i="5"/>
  <c r="N34" i="5"/>
  <c r="AG13" i="1"/>
  <c r="S15" i="5"/>
  <c r="N15" i="5"/>
  <c r="AG5" i="1"/>
  <c r="S7" i="5"/>
  <c r="N7" i="5"/>
  <c r="AG6" i="1"/>
  <c r="S8" i="5"/>
  <c r="N8" i="5"/>
  <c r="AG20" i="1"/>
  <c r="S22" i="5"/>
  <c r="N22" i="5"/>
  <c r="S37" i="4"/>
  <c r="S22" i="4"/>
  <c r="S41" i="4"/>
  <c r="S42" i="4"/>
  <c r="X14" i="4"/>
  <c r="AB14" i="4" s="1"/>
  <c r="AE14" i="4" s="1"/>
  <c r="M17" i="5"/>
  <c r="N17" i="6" s="1"/>
  <c r="X30" i="4"/>
  <c r="AB30" i="4" s="1"/>
  <c r="AE30" i="4" s="1"/>
  <c r="M33" i="5"/>
  <c r="N33" i="6" s="1"/>
  <c r="X33" i="4"/>
  <c r="AB33" i="4" s="1"/>
  <c r="AE33" i="4" s="1"/>
  <c r="M36" i="5"/>
  <c r="N36" i="6" s="1"/>
  <c r="X13" i="4"/>
  <c r="M16" i="5"/>
  <c r="N16" i="6" s="1"/>
  <c r="X21" i="4"/>
  <c r="M24" i="5"/>
  <c r="N24" i="6" s="1"/>
  <c r="X29" i="4"/>
  <c r="AB29" i="4" s="1"/>
  <c r="AE29" i="4" s="1"/>
  <c r="M32" i="5"/>
  <c r="N32" i="6" s="1"/>
  <c r="X25" i="4"/>
  <c r="AB25" i="4" s="1"/>
  <c r="AE25" i="4" s="1"/>
  <c r="M28" i="5"/>
  <c r="N28" i="6" s="1"/>
  <c r="X17" i="4"/>
  <c r="M20" i="5"/>
  <c r="N20" i="6" s="1"/>
  <c r="X46" i="4"/>
  <c r="M49" i="5"/>
  <c r="N49" i="6" s="1"/>
  <c r="X22" i="4"/>
  <c r="M25" i="5"/>
  <c r="N25" i="6" s="1"/>
  <c r="X41" i="4"/>
  <c r="M44" i="5"/>
  <c r="N44" i="6" s="1"/>
  <c r="S38" i="4"/>
  <c r="X42" i="4"/>
  <c r="M45" i="5"/>
  <c r="N45" i="6" s="1"/>
  <c r="S25" i="4"/>
  <c r="S14" i="4"/>
  <c r="X38" i="4"/>
  <c r="AB38" i="4" s="1"/>
  <c r="AE38" i="4" s="1"/>
  <c r="M41" i="5"/>
  <c r="N41" i="6" s="1"/>
  <c r="X37" i="4"/>
  <c r="M40" i="5"/>
  <c r="N40" i="6" s="1"/>
  <c r="X6" i="4"/>
  <c r="AB6" i="4" s="1"/>
  <c r="AE6" i="4" s="1"/>
  <c r="M9" i="5"/>
  <c r="N9" i="6" s="1"/>
  <c r="X9" i="4"/>
  <c r="AB9" i="4" s="1"/>
  <c r="AE9" i="4" s="1"/>
  <c r="M12" i="5"/>
  <c r="N12" i="6" s="1"/>
  <c r="A15" i="5"/>
  <c r="A14" i="6"/>
  <c r="S40" i="4"/>
  <c r="X40" i="4"/>
  <c r="R45" i="4"/>
  <c r="Q45" i="4"/>
  <c r="T45" i="4" s="1"/>
  <c r="Y26" i="4"/>
  <c r="Q26" i="4"/>
  <c r="R26" i="4"/>
  <c r="W5" i="4"/>
  <c r="X28" i="4"/>
  <c r="S28" i="4"/>
  <c r="R24" i="4"/>
  <c r="V24" i="4" s="1"/>
  <c r="Q24" i="4"/>
  <c r="M27" i="5" s="1"/>
  <c r="N27" i="6" s="1"/>
  <c r="Q23" i="4"/>
  <c r="M26" i="5" s="1"/>
  <c r="N26" i="6" s="1"/>
  <c r="R23" i="4"/>
  <c r="V23" i="4" s="1"/>
  <c r="Q18" i="4"/>
  <c r="R18" i="4"/>
  <c r="Q16" i="4"/>
  <c r="M19" i="5" s="1"/>
  <c r="N19" i="6" s="1"/>
  <c r="R16" i="4"/>
  <c r="V16" i="4" s="1"/>
  <c r="V41" i="4"/>
  <c r="S17" i="4"/>
  <c r="S6" i="4"/>
  <c r="X20" i="4"/>
  <c r="S20" i="4"/>
  <c r="S33" i="4"/>
  <c r="S30" i="4"/>
  <c r="R8" i="4"/>
  <c r="V8" i="4" s="1"/>
  <c r="Q8" i="4"/>
  <c r="M11" i="5" s="1"/>
  <c r="N11" i="6" s="1"/>
  <c r="S21" i="4"/>
  <c r="R44" i="4"/>
  <c r="V44" i="4" s="1"/>
  <c r="Q44" i="4"/>
  <c r="M47" i="5" s="1"/>
  <c r="N47" i="6" s="1"/>
  <c r="R15" i="4"/>
  <c r="V15" i="4" s="1"/>
  <c r="Q15" i="4"/>
  <c r="M18" i="5" s="1"/>
  <c r="N18" i="6" s="1"/>
  <c r="Q10" i="4"/>
  <c r="R10" i="4"/>
  <c r="V10" i="4" s="1"/>
  <c r="Y3" i="4"/>
  <c r="R3" i="4"/>
  <c r="V3" i="4" s="1"/>
  <c r="Q47" i="4"/>
  <c r="M50" i="5" s="1"/>
  <c r="N50" i="6" s="1"/>
  <c r="R47" i="4"/>
  <c r="V47" i="4" s="1"/>
  <c r="X11" i="4"/>
  <c r="S11" i="4"/>
  <c r="Q48" i="4"/>
  <c r="M51" i="5" s="1"/>
  <c r="N51" i="6" s="1"/>
  <c r="R48" i="4"/>
  <c r="V48" i="4" s="1"/>
  <c r="X19" i="4"/>
  <c r="S19" i="4"/>
  <c r="Q7" i="4"/>
  <c r="M10" i="5" s="1"/>
  <c r="N10" i="6" s="1"/>
  <c r="R7" i="4"/>
  <c r="V7" i="4" s="1"/>
  <c r="X27" i="4"/>
  <c r="S27" i="4"/>
  <c r="X32" i="4"/>
  <c r="S32" i="4"/>
  <c r="S13" i="4"/>
  <c r="Q36" i="4"/>
  <c r="M39" i="5" s="1"/>
  <c r="N39" i="6" s="1"/>
  <c r="R36" i="4"/>
  <c r="V36" i="4" s="1"/>
  <c r="X31" i="4"/>
  <c r="S31" i="4"/>
  <c r="X12" i="4"/>
  <c r="S12" i="4"/>
  <c r="X35" i="4"/>
  <c r="S35" i="4"/>
  <c r="V37" i="4"/>
  <c r="W45" i="4"/>
  <c r="X4" i="4"/>
  <c r="S4" i="4"/>
  <c r="S43" i="4"/>
  <c r="X43" i="4"/>
  <c r="X5" i="4"/>
  <c r="Y45" i="4"/>
  <c r="Q39" i="4"/>
  <c r="M42" i="5" s="1"/>
  <c r="N42" i="6" s="1"/>
  <c r="R39" i="4"/>
  <c r="V39" i="4" s="1"/>
  <c r="V9" i="4"/>
  <c r="V25" i="4"/>
  <c r="Q34" i="4"/>
  <c r="AB37" i="4"/>
  <c r="AE37" i="4" s="1"/>
  <c r="S29" i="4"/>
  <c r="E7" i="3"/>
  <c r="G6" i="3"/>
  <c r="F6" i="3"/>
  <c r="E19" i="3"/>
  <c r="G18" i="3"/>
  <c r="F18" i="3"/>
  <c r="W44" i="4"/>
  <c r="T20" i="4"/>
  <c r="T38" i="4"/>
  <c r="W31" i="4"/>
  <c r="T9" i="4"/>
  <c r="W18" i="4"/>
  <c r="T29" i="4"/>
  <c r="W15" i="4"/>
  <c r="T5" i="4"/>
  <c r="T35" i="4"/>
  <c r="W36" i="4"/>
  <c r="W4" i="4"/>
  <c r="W7" i="4"/>
  <c r="T4" i="4"/>
  <c r="T6" i="4"/>
  <c r="Y18" i="4"/>
  <c r="Y48" i="4"/>
  <c r="W48" i="4"/>
  <c r="W32" i="4"/>
  <c r="V32" i="4"/>
  <c r="T22" i="4"/>
  <c r="W26" i="4"/>
  <c r="T41" i="4"/>
  <c r="T21" i="4"/>
  <c r="W23" i="4"/>
  <c r="T12" i="4"/>
  <c r="Y10" i="4"/>
  <c r="W10" i="4"/>
  <c r="T27" i="4"/>
  <c r="T46" i="4"/>
  <c r="T28" i="4"/>
  <c r="T42" i="4"/>
  <c r="T37" i="4"/>
  <c r="W39" i="4"/>
  <c r="Q3" i="4"/>
  <c r="W3" i="4"/>
  <c r="T19" i="4"/>
  <c r="T14" i="4"/>
  <c r="T33" i="4"/>
  <c r="T17" i="4"/>
  <c r="W47" i="4"/>
  <c r="W16" i="4"/>
  <c r="T40" i="4"/>
  <c r="Y44" i="4"/>
  <c r="T30" i="4"/>
  <c r="T43" i="4"/>
  <c r="T11" i="4"/>
  <c r="T25" i="4"/>
  <c r="W34" i="4"/>
  <c r="V34" i="4"/>
  <c r="T13" i="4"/>
  <c r="Y36" i="4"/>
  <c r="AJ41" i="4"/>
  <c r="AJ18" i="4"/>
  <c r="Y15" i="4"/>
  <c r="Y7" i="4"/>
  <c r="Y23" i="4"/>
  <c r="Y31" i="4"/>
  <c r="V31" i="4"/>
  <c r="Y32" i="4"/>
  <c r="V33" i="4"/>
  <c r="V40" i="4"/>
  <c r="V42" i="4"/>
  <c r="V4" i="4"/>
  <c r="V14" i="4"/>
  <c r="V11" i="4"/>
  <c r="N35" i="5" l="1"/>
  <c r="A28" i="3"/>
  <c r="B27" i="3"/>
  <c r="C27" i="3" s="1"/>
  <c r="T8" i="4"/>
  <c r="S35" i="5"/>
  <c r="O35" i="5" s="1"/>
  <c r="AG33" i="1"/>
  <c r="O46" i="5"/>
  <c r="P46" i="6"/>
  <c r="O43" i="5"/>
  <c r="P43" i="6"/>
  <c r="O38" i="5"/>
  <c r="P38" i="6"/>
  <c r="O14" i="5"/>
  <c r="P14" i="6"/>
  <c r="O23" i="5"/>
  <c r="P23" i="6"/>
  <c r="O8" i="5"/>
  <c r="P8" i="6"/>
  <c r="O34" i="5"/>
  <c r="P34" i="6"/>
  <c r="O31" i="5"/>
  <c r="P31" i="6"/>
  <c r="O7" i="5"/>
  <c r="P7" i="6"/>
  <c r="O30" i="5"/>
  <c r="P30" i="6"/>
  <c r="O22" i="5"/>
  <c r="P22" i="6"/>
  <c r="O15" i="5"/>
  <c r="P15" i="6"/>
  <c r="AG39" i="1"/>
  <c r="N41" i="5"/>
  <c r="S41" i="5"/>
  <c r="AG15" i="1"/>
  <c r="N17" i="5"/>
  <c r="S17" i="5"/>
  <c r="AG47" i="1"/>
  <c r="S49" i="5"/>
  <c r="N49" i="5"/>
  <c r="AG25" i="1"/>
  <c r="S27" i="5"/>
  <c r="N27" i="5"/>
  <c r="AG30" i="1"/>
  <c r="S32" i="5"/>
  <c r="N32" i="5"/>
  <c r="AG10" i="1"/>
  <c r="S12" i="5"/>
  <c r="N12" i="5"/>
  <c r="AG48" i="1"/>
  <c r="S50" i="5"/>
  <c r="N50" i="5"/>
  <c r="AG22" i="1"/>
  <c r="S24" i="5"/>
  <c r="N24" i="5"/>
  <c r="AG43" i="1"/>
  <c r="S45" i="5"/>
  <c r="N45" i="5"/>
  <c r="AG9" i="1"/>
  <c r="S11" i="5"/>
  <c r="N11" i="5"/>
  <c r="AG18" i="1"/>
  <c r="S20" i="5"/>
  <c r="N20" i="5"/>
  <c r="AG14" i="1"/>
  <c r="S16" i="5"/>
  <c r="N16" i="5"/>
  <c r="AG23" i="1"/>
  <c r="S25" i="5"/>
  <c r="N25" i="5"/>
  <c r="AG8" i="1"/>
  <c r="S10" i="5"/>
  <c r="N10" i="5"/>
  <c r="AG40" i="1"/>
  <c r="S42" i="5"/>
  <c r="N42" i="5"/>
  <c r="AG7" i="1"/>
  <c r="S9" i="5"/>
  <c r="N9" i="5"/>
  <c r="AG16" i="1"/>
  <c r="S18" i="5"/>
  <c r="N18" i="5"/>
  <c r="AG31" i="1"/>
  <c r="S33" i="5"/>
  <c r="N33" i="5"/>
  <c r="AG45" i="1"/>
  <c r="S47" i="5"/>
  <c r="N47" i="5"/>
  <c r="AG24" i="1"/>
  <c r="S26" i="5"/>
  <c r="N26" i="5"/>
  <c r="AG37" i="1"/>
  <c r="S39" i="5"/>
  <c r="N39" i="5"/>
  <c r="AG38" i="1"/>
  <c r="S40" i="5"/>
  <c r="N40" i="5"/>
  <c r="AG49" i="1"/>
  <c r="S51" i="5"/>
  <c r="N51" i="5"/>
  <c r="AG17" i="1"/>
  <c r="S19" i="5"/>
  <c r="N19" i="5"/>
  <c r="AG42" i="1"/>
  <c r="S44" i="5"/>
  <c r="N44" i="5"/>
  <c r="AG26" i="1"/>
  <c r="S28" i="5"/>
  <c r="N28" i="5"/>
  <c r="AG34" i="1"/>
  <c r="S36" i="5"/>
  <c r="N36" i="5"/>
  <c r="S18" i="4"/>
  <c r="S26" i="4"/>
  <c r="AB42" i="4"/>
  <c r="AE42" i="4" s="1"/>
  <c r="AA42" i="4"/>
  <c r="AC42" i="4"/>
  <c r="AF42" i="4" s="1"/>
  <c r="T24" i="4"/>
  <c r="AB43" i="4"/>
  <c r="AE43" i="4" s="1"/>
  <c r="AA43" i="4"/>
  <c r="AC43" i="4"/>
  <c r="AF43" i="4" s="1"/>
  <c r="AA25" i="4"/>
  <c r="AD25" i="4" s="1"/>
  <c r="AC25" i="4"/>
  <c r="AF25" i="4" s="1"/>
  <c r="AA33" i="4"/>
  <c r="AD33" i="4" s="1"/>
  <c r="AC33" i="4"/>
  <c r="AF33" i="4" s="1"/>
  <c r="T39" i="4"/>
  <c r="X34" i="4"/>
  <c r="AB34" i="4" s="1"/>
  <c r="AE34" i="4" s="1"/>
  <c r="M37" i="5"/>
  <c r="N37" i="6" s="1"/>
  <c r="AA12" i="4"/>
  <c r="AD12" i="4" s="1"/>
  <c r="AC12" i="4"/>
  <c r="AF12" i="4" s="1"/>
  <c r="AA32" i="4"/>
  <c r="AC32" i="4"/>
  <c r="AF32" i="4" s="1"/>
  <c r="AA38" i="4"/>
  <c r="AD38" i="4" s="1"/>
  <c r="AC38" i="4"/>
  <c r="AF38" i="4" s="1"/>
  <c r="AA13" i="4"/>
  <c r="AD13" i="4" s="1"/>
  <c r="AC13" i="4"/>
  <c r="AF13" i="4" s="1"/>
  <c r="X26" i="4"/>
  <c r="AB26" i="4" s="1"/>
  <c r="AE26" i="4" s="1"/>
  <c r="M29" i="5"/>
  <c r="N29" i="6" s="1"/>
  <c r="AA29" i="4"/>
  <c r="AC29" i="4"/>
  <c r="AF29" i="4" s="1"/>
  <c r="AA30" i="4"/>
  <c r="AD30" i="4" s="1"/>
  <c r="AC30" i="4"/>
  <c r="AF30" i="4" s="1"/>
  <c r="AA27" i="4"/>
  <c r="AD27" i="4" s="1"/>
  <c r="AC27" i="4"/>
  <c r="AF27" i="4" s="1"/>
  <c r="AA35" i="4"/>
  <c r="AD35" i="4" s="1"/>
  <c r="AC35" i="4"/>
  <c r="AF35" i="4" s="1"/>
  <c r="AA37" i="4"/>
  <c r="AD37" i="4" s="1"/>
  <c r="AC37" i="4"/>
  <c r="AF37" i="4" s="1"/>
  <c r="X18" i="4"/>
  <c r="M21" i="5"/>
  <c r="N21" i="6" s="1"/>
  <c r="AA28" i="4"/>
  <c r="AD28" i="4" s="1"/>
  <c r="AC28" i="4"/>
  <c r="AF28" i="4" s="1"/>
  <c r="AA40" i="4"/>
  <c r="AD40" i="4" s="1"/>
  <c r="AK41" i="4" s="1"/>
  <c r="AC40" i="4"/>
  <c r="AF40" i="4" s="1"/>
  <c r="AA31" i="4"/>
  <c r="AJ31" i="4" s="1"/>
  <c r="AC31" i="4"/>
  <c r="AF31" i="4" s="1"/>
  <c r="AA19" i="4"/>
  <c r="AJ19" i="4" s="1"/>
  <c r="AC19" i="4"/>
  <c r="AF19" i="4" s="1"/>
  <c r="AB13" i="4"/>
  <c r="AE13" i="4" s="1"/>
  <c r="AA20" i="4"/>
  <c r="AD20" i="4" s="1"/>
  <c r="AK21" i="4" s="1"/>
  <c r="AC20" i="4"/>
  <c r="AF20" i="4" s="1"/>
  <c r="X45" i="4"/>
  <c r="M48" i="5"/>
  <c r="N48" i="6" s="1"/>
  <c r="AB46" i="4"/>
  <c r="AE46" i="4" s="1"/>
  <c r="AA46" i="4"/>
  <c r="AC46" i="4"/>
  <c r="AF46" i="4" s="1"/>
  <c r="AA14" i="4"/>
  <c r="AD14" i="4" s="1"/>
  <c r="AK15" i="4" s="1"/>
  <c r="AC14" i="4"/>
  <c r="AF14" i="4" s="1"/>
  <c r="AA11" i="4"/>
  <c r="AD11" i="4" s="1"/>
  <c r="AC11" i="4"/>
  <c r="AF11" i="4" s="1"/>
  <c r="AA9" i="4"/>
  <c r="AD9" i="4" s="1"/>
  <c r="AC9" i="4"/>
  <c r="AF9" i="4" s="1"/>
  <c r="AB4" i="4"/>
  <c r="AE4" i="4" s="1"/>
  <c r="AA4" i="4"/>
  <c r="AC4" i="4"/>
  <c r="X10" i="4"/>
  <c r="AB10" i="4" s="1"/>
  <c r="AE10" i="4" s="1"/>
  <c r="M13" i="5"/>
  <c r="N13" i="6" s="1"/>
  <c r="AA6" i="4"/>
  <c r="AJ6" i="4" s="1"/>
  <c r="AC6" i="4"/>
  <c r="X3" i="4"/>
  <c r="M6" i="5"/>
  <c r="N6" i="6" s="1"/>
  <c r="A16" i="5"/>
  <c r="A15" i="6"/>
  <c r="AB11" i="4"/>
  <c r="AE11" i="4" s="1"/>
  <c r="S16" i="4"/>
  <c r="X16" i="4"/>
  <c r="T10" i="4"/>
  <c r="V18" i="4"/>
  <c r="AB19" i="4"/>
  <c r="AE19" i="4" s="1"/>
  <c r="AD19" i="4"/>
  <c r="X47" i="4"/>
  <c r="S47" i="4"/>
  <c r="AB28" i="4"/>
  <c r="AE28" i="4" s="1"/>
  <c r="Q49" i="4"/>
  <c r="AB35" i="4"/>
  <c r="AE35" i="4" s="1"/>
  <c r="X36" i="4"/>
  <c r="S36" i="4"/>
  <c r="X44" i="4"/>
  <c r="S44" i="4"/>
  <c r="AB20" i="4"/>
  <c r="AE20" i="4" s="1"/>
  <c r="X39" i="4"/>
  <c r="S39" i="4"/>
  <c r="T16" i="4"/>
  <c r="AB27" i="4"/>
  <c r="AE27" i="4" s="1"/>
  <c r="X23" i="4"/>
  <c r="S23" i="4"/>
  <c r="S45" i="4"/>
  <c r="V45" i="4"/>
  <c r="S3" i="4"/>
  <c r="AB12" i="4"/>
  <c r="AE12" i="4" s="1"/>
  <c r="R49" i="4"/>
  <c r="V49" i="4" s="1"/>
  <c r="S24" i="4"/>
  <c r="X24" i="4"/>
  <c r="AB40" i="4"/>
  <c r="AE40" i="4" s="1"/>
  <c r="AB31" i="4"/>
  <c r="AE31" i="4" s="1"/>
  <c r="X15" i="4"/>
  <c r="S15" i="4"/>
  <c r="AD32" i="4"/>
  <c r="AB32" i="4"/>
  <c r="AE32" i="4" s="1"/>
  <c r="X7" i="4"/>
  <c r="S7" i="4"/>
  <c r="S48" i="4"/>
  <c r="X48" i="4"/>
  <c r="X8" i="4"/>
  <c r="S8" i="4"/>
  <c r="AD29" i="4"/>
  <c r="AJ29" i="4"/>
  <c r="S10" i="4"/>
  <c r="S34" i="4"/>
  <c r="E8" i="3"/>
  <c r="G7" i="3"/>
  <c r="F7" i="3"/>
  <c r="E20" i="3"/>
  <c r="G19" i="3"/>
  <c r="F19" i="3"/>
  <c r="T31" i="4"/>
  <c r="T23" i="4"/>
  <c r="T26" i="4"/>
  <c r="T36" i="4"/>
  <c r="T3" i="4"/>
  <c r="T34" i="4"/>
  <c r="T47" i="4"/>
  <c r="T15" i="4"/>
  <c r="T44" i="4"/>
  <c r="T7" i="4"/>
  <c r="T48" i="4"/>
  <c r="T18" i="4"/>
  <c r="T32" i="4"/>
  <c r="V26" i="4"/>
  <c r="AJ37" i="4"/>
  <c r="AJ24" i="4"/>
  <c r="AJ5" i="4"/>
  <c r="AJ30" i="4"/>
  <c r="AJ22" i="4"/>
  <c r="AJ17" i="4"/>
  <c r="V5" i="4"/>
  <c r="B51" i="5"/>
  <c r="B50" i="5"/>
  <c r="B49" i="5"/>
  <c r="B48" i="5"/>
  <c r="B47" i="5"/>
  <c r="G47" i="5" s="1"/>
  <c r="B46" i="5"/>
  <c r="G46" i="5" s="1"/>
  <c r="B45" i="5"/>
  <c r="B44" i="5"/>
  <c r="B43" i="5"/>
  <c r="B42" i="5"/>
  <c r="B41" i="5"/>
  <c r="B40" i="5"/>
  <c r="B39" i="5"/>
  <c r="G39" i="5" s="1"/>
  <c r="B38" i="5"/>
  <c r="G38" i="5" s="1"/>
  <c r="B37" i="5"/>
  <c r="B36" i="5"/>
  <c r="B35" i="5"/>
  <c r="B34" i="5"/>
  <c r="B33" i="5"/>
  <c r="B32" i="5"/>
  <c r="B31" i="5"/>
  <c r="G31" i="5" s="1"/>
  <c r="B30" i="5"/>
  <c r="G30" i="5" s="1"/>
  <c r="B29" i="5"/>
  <c r="B28" i="5"/>
  <c r="B27" i="5"/>
  <c r="B26" i="5"/>
  <c r="B25" i="5"/>
  <c r="B24" i="5"/>
  <c r="B23" i="5"/>
  <c r="G23" i="5" s="1"/>
  <c r="B22" i="5"/>
  <c r="G22" i="5" s="1"/>
  <c r="B21" i="5"/>
  <c r="B20" i="5"/>
  <c r="B19" i="5"/>
  <c r="B18" i="5"/>
  <c r="B17" i="5"/>
  <c r="B16" i="5"/>
  <c r="B15" i="5"/>
  <c r="G15" i="5" s="1"/>
  <c r="B14" i="5"/>
  <c r="G14" i="5" s="1"/>
  <c r="B13" i="5"/>
  <c r="B12" i="5"/>
  <c r="B11" i="5"/>
  <c r="B10" i="5"/>
  <c r="B9" i="5"/>
  <c r="B8" i="5"/>
  <c r="B7" i="5"/>
  <c r="G7" i="5" s="1"/>
  <c r="B6" i="5"/>
  <c r="G6" i="5" s="1"/>
  <c r="F49" i="1"/>
  <c r="C51" i="5" s="1"/>
  <c r="F48" i="1"/>
  <c r="C50" i="5" s="1"/>
  <c r="F47" i="1"/>
  <c r="C49" i="5" s="1"/>
  <c r="F46" i="1"/>
  <c r="C48" i="5" s="1"/>
  <c r="F45" i="1"/>
  <c r="C47" i="5" s="1"/>
  <c r="F44" i="1"/>
  <c r="C46" i="5" s="1"/>
  <c r="F43" i="1"/>
  <c r="C45" i="5" s="1"/>
  <c r="F42" i="1"/>
  <c r="C44" i="5" s="1"/>
  <c r="F41" i="1"/>
  <c r="C43" i="5" s="1"/>
  <c r="F40" i="1"/>
  <c r="C42" i="5" s="1"/>
  <c r="F39" i="1"/>
  <c r="C41" i="5" s="1"/>
  <c r="F38" i="1"/>
  <c r="C40" i="5" s="1"/>
  <c r="F37" i="1"/>
  <c r="C39" i="5" s="1"/>
  <c r="F36" i="1"/>
  <c r="C38" i="5" s="1"/>
  <c r="F35" i="1"/>
  <c r="C37" i="5" s="1"/>
  <c r="F34" i="1"/>
  <c r="C36" i="5" s="1"/>
  <c r="F33" i="1"/>
  <c r="C35" i="5" s="1"/>
  <c r="F32" i="1"/>
  <c r="C34" i="5" s="1"/>
  <c r="F31" i="1"/>
  <c r="C33" i="5" s="1"/>
  <c r="F30" i="1"/>
  <c r="C32" i="5" s="1"/>
  <c r="F29" i="1"/>
  <c r="C31" i="5" s="1"/>
  <c r="F28" i="1"/>
  <c r="C30" i="5" s="1"/>
  <c r="F27" i="1"/>
  <c r="C29" i="5" s="1"/>
  <c r="F26" i="1"/>
  <c r="C28" i="5" s="1"/>
  <c r="F25" i="1"/>
  <c r="C27" i="5" s="1"/>
  <c r="F24" i="1"/>
  <c r="C26" i="5" s="1"/>
  <c r="F23" i="1"/>
  <c r="C25" i="5" s="1"/>
  <c r="F22" i="1"/>
  <c r="C24" i="5" s="1"/>
  <c r="F21" i="1"/>
  <c r="C23" i="5" s="1"/>
  <c r="F20" i="1"/>
  <c r="C22" i="5" s="1"/>
  <c r="F19" i="1"/>
  <c r="C21" i="5" s="1"/>
  <c r="F18" i="1"/>
  <c r="C20" i="5" s="1"/>
  <c r="F17" i="1"/>
  <c r="C19" i="5" s="1"/>
  <c r="F16" i="1"/>
  <c r="C18" i="5" s="1"/>
  <c r="F15" i="1"/>
  <c r="C17" i="5" s="1"/>
  <c r="F14" i="1"/>
  <c r="C16" i="5" s="1"/>
  <c r="F13" i="1"/>
  <c r="C15" i="5" s="1"/>
  <c r="F12" i="1"/>
  <c r="C14" i="5" s="1"/>
  <c r="F11" i="1"/>
  <c r="C13" i="5" s="1"/>
  <c r="F10" i="1"/>
  <c r="C12" i="5" s="1"/>
  <c r="F9" i="1"/>
  <c r="C11" i="5" s="1"/>
  <c r="F8" i="1"/>
  <c r="C10" i="5" s="1"/>
  <c r="F7" i="1"/>
  <c r="C9" i="5" s="1"/>
  <c r="F6" i="1"/>
  <c r="C8" i="5" s="1"/>
  <c r="F5" i="1"/>
  <c r="C7" i="5" s="1"/>
  <c r="F4" i="1"/>
  <c r="C6" i="5" s="1"/>
  <c r="P35" i="6" l="1"/>
  <c r="AC46" i="5"/>
  <c r="AA46" i="5"/>
  <c r="W46" i="5"/>
  <c r="Z46" i="5" s="1"/>
  <c r="AB46" i="5"/>
  <c r="V46" i="5"/>
  <c r="Y46" i="5" s="1"/>
  <c r="U46" i="5"/>
  <c r="X46" i="5" s="1"/>
  <c r="AD31" i="4"/>
  <c r="AA22" i="5"/>
  <c r="V22" i="5"/>
  <c r="Y22" i="5" s="1"/>
  <c r="AC22" i="5"/>
  <c r="W22" i="5"/>
  <c r="Z22" i="5" s="1"/>
  <c r="AB22" i="5"/>
  <c r="U22" i="5"/>
  <c r="X22" i="5" s="1"/>
  <c r="AA34" i="5"/>
  <c r="V34" i="5"/>
  <c r="Y34" i="5" s="1"/>
  <c r="AB34" i="5"/>
  <c r="AC34" i="5"/>
  <c r="W34" i="5"/>
  <c r="Z34" i="5" s="1"/>
  <c r="U34" i="5"/>
  <c r="X34" i="5" s="1"/>
  <c r="AA35" i="5"/>
  <c r="V35" i="5"/>
  <c r="Y35" i="5" s="1"/>
  <c r="W35" i="5"/>
  <c r="Z35" i="5" s="1"/>
  <c r="AC35" i="5"/>
  <c r="AB35" i="5"/>
  <c r="U35" i="5"/>
  <c r="W23" i="5"/>
  <c r="Z23" i="5" s="1"/>
  <c r="V23" i="5"/>
  <c r="Y23" i="5" s="1"/>
  <c r="AB23" i="5"/>
  <c r="AC23" i="5"/>
  <c r="AA23" i="5"/>
  <c r="U23" i="5"/>
  <c r="X23" i="5" s="1"/>
  <c r="AA14" i="5"/>
  <c r="W14" i="5"/>
  <c r="Z14" i="5" s="1"/>
  <c r="AC14" i="5"/>
  <c r="AB14" i="5"/>
  <c r="V14" i="5"/>
  <c r="Y14" i="5" s="1"/>
  <c r="U14" i="5"/>
  <c r="X14" i="5" s="1"/>
  <c r="W31" i="5"/>
  <c r="Z31" i="5" s="1"/>
  <c r="AB31" i="5"/>
  <c r="AC31" i="5"/>
  <c r="V31" i="5"/>
  <c r="Y31" i="5" s="1"/>
  <c r="AA31" i="5"/>
  <c r="U31" i="5"/>
  <c r="G8" i="5"/>
  <c r="G16" i="5"/>
  <c r="G24" i="5"/>
  <c r="G32" i="5"/>
  <c r="G40" i="5"/>
  <c r="G48" i="5"/>
  <c r="AA30" i="5"/>
  <c r="W30" i="5"/>
  <c r="Z30" i="5" s="1"/>
  <c r="AB30" i="5"/>
  <c r="AC30" i="5"/>
  <c r="V30" i="5"/>
  <c r="Y30" i="5" s="1"/>
  <c r="U30" i="5"/>
  <c r="X30" i="5" s="1"/>
  <c r="AB8" i="5"/>
  <c r="AA8" i="5"/>
  <c r="W8" i="5"/>
  <c r="Z8" i="5" s="1"/>
  <c r="AC8" i="5"/>
  <c r="V8" i="5"/>
  <c r="Y8" i="5" s="1"/>
  <c r="U8" i="5"/>
  <c r="AA38" i="5"/>
  <c r="W38" i="5"/>
  <c r="Z38" i="5" s="1"/>
  <c r="V38" i="5"/>
  <c r="Y38" i="5" s="1"/>
  <c r="AC38" i="5"/>
  <c r="AB38" i="5"/>
  <c r="U38" i="5"/>
  <c r="V43" i="5"/>
  <c r="Y43" i="5" s="1"/>
  <c r="AC43" i="5"/>
  <c r="AA43" i="5"/>
  <c r="W43" i="5"/>
  <c r="Z43" i="5" s="1"/>
  <c r="AB43" i="5"/>
  <c r="U43" i="5"/>
  <c r="W15" i="5"/>
  <c r="Z15" i="5" s="1"/>
  <c r="AA15" i="5"/>
  <c r="AB15" i="5"/>
  <c r="AC15" i="5"/>
  <c r="V15" i="5"/>
  <c r="Y15" i="5" s="1"/>
  <c r="U15" i="5"/>
  <c r="X15" i="5" s="1"/>
  <c r="A29" i="3"/>
  <c r="B28" i="3"/>
  <c r="C28" i="3" s="1"/>
  <c r="T22" i="5"/>
  <c r="G9" i="5"/>
  <c r="G17" i="5"/>
  <c r="G25" i="5"/>
  <c r="G33" i="5"/>
  <c r="G41" i="5"/>
  <c r="G49" i="5"/>
  <c r="T30" i="5"/>
  <c r="T8" i="5"/>
  <c r="X38" i="5"/>
  <c r="T38" i="5"/>
  <c r="G10" i="5"/>
  <c r="G18" i="5"/>
  <c r="G26" i="5"/>
  <c r="G34" i="5"/>
  <c r="G42" i="5"/>
  <c r="G50" i="5"/>
  <c r="T23" i="5"/>
  <c r="X43" i="5"/>
  <c r="T43" i="5"/>
  <c r="X35" i="5"/>
  <c r="T35" i="5"/>
  <c r="T34" i="5"/>
  <c r="T15" i="5"/>
  <c r="T31" i="5"/>
  <c r="X31" i="5"/>
  <c r="T14" i="5"/>
  <c r="T46" i="5"/>
  <c r="O47" i="5"/>
  <c r="P47" i="6"/>
  <c r="O45" i="5"/>
  <c r="P45" i="6"/>
  <c r="O51" i="5"/>
  <c r="P51" i="6"/>
  <c r="O44" i="5"/>
  <c r="P44" i="6"/>
  <c r="O42" i="5"/>
  <c r="P42" i="6"/>
  <c r="O49" i="5"/>
  <c r="P49" i="6"/>
  <c r="G11" i="5"/>
  <c r="G19" i="5"/>
  <c r="G27" i="5"/>
  <c r="G35" i="5"/>
  <c r="G43" i="5"/>
  <c r="G51" i="5"/>
  <c r="O50" i="5"/>
  <c r="P50" i="6"/>
  <c r="O18" i="5"/>
  <c r="P18" i="6"/>
  <c r="O17" i="5"/>
  <c r="P17" i="6"/>
  <c r="O33" i="5"/>
  <c r="P33" i="6"/>
  <c r="O25" i="5"/>
  <c r="P25" i="6"/>
  <c r="O12" i="5"/>
  <c r="P12" i="6"/>
  <c r="O40" i="5"/>
  <c r="P40" i="6"/>
  <c r="O20" i="5"/>
  <c r="P20" i="6"/>
  <c r="O27" i="5"/>
  <c r="P27" i="6"/>
  <c r="O16" i="5"/>
  <c r="P16" i="6"/>
  <c r="O26" i="5"/>
  <c r="P26" i="6"/>
  <c r="O9" i="5"/>
  <c r="P9" i="6"/>
  <c r="O36" i="5"/>
  <c r="P36" i="6"/>
  <c r="O24" i="5"/>
  <c r="P24" i="6"/>
  <c r="O19" i="5"/>
  <c r="P19" i="6"/>
  <c r="O32" i="5"/>
  <c r="P32" i="6"/>
  <c r="O39" i="5"/>
  <c r="P39" i="6"/>
  <c r="O11" i="5"/>
  <c r="P11" i="6"/>
  <c r="O28" i="5"/>
  <c r="P28" i="6"/>
  <c r="O10" i="5"/>
  <c r="P10" i="6"/>
  <c r="O41" i="5"/>
  <c r="P41" i="6"/>
  <c r="AG35" i="1"/>
  <c r="S37" i="5"/>
  <c r="N37" i="5"/>
  <c r="AG4" i="1"/>
  <c r="N6" i="5"/>
  <c r="AG46" i="1"/>
  <c r="S48" i="5"/>
  <c r="N48" i="5"/>
  <c r="G28" i="5"/>
  <c r="G44" i="5"/>
  <c r="AG27" i="1"/>
  <c r="S29" i="5"/>
  <c r="N29" i="5"/>
  <c r="AG19" i="1"/>
  <c r="S21" i="5"/>
  <c r="N21" i="5"/>
  <c r="G12" i="5"/>
  <c r="G20" i="5"/>
  <c r="G36" i="5"/>
  <c r="G13" i="5"/>
  <c r="G21" i="5"/>
  <c r="G29" i="5"/>
  <c r="G37" i="5"/>
  <c r="G45" i="5"/>
  <c r="AG11" i="1"/>
  <c r="S13" i="5"/>
  <c r="N13" i="5"/>
  <c r="AK33" i="4"/>
  <c r="AJ38" i="4"/>
  <c r="AJ14" i="4"/>
  <c r="AK13" i="4"/>
  <c r="AJ13" i="4"/>
  <c r="AK30" i="4"/>
  <c r="AK38" i="4"/>
  <c r="AK29" i="4"/>
  <c r="AJ11" i="4"/>
  <c r="AJ25" i="4"/>
  <c r="AA39" i="4"/>
  <c r="AC39" i="4"/>
  <c r="AF39" i="4" s="1"/>
  <c r="AK14" i="4"/>
  <c r="AA34" i="4"/>
  <c r="AD34" i="4" s="1"/>
  <c r="AK35" i="4" s="1"/>
  <c r="AC34" i="4"/>
  <c r="AF34" i="4" s="1"/>
  <c r="AB45" i="4"/>
  <c r="AE45" i="4" s="1"/>
  <c r="AA45" i="4"/>
  <c r="AJ45" i="4" s="1"/>
  <c r="AC45" i="4"/>
  <c r="AF45" i="4" s="1"/>
  <c r="AK19" i="4"/>
  <c r="AK20" i="4"/>
  <c r="AK12" i="4"/>
  <c r="AJ12" i="4"/>
  <c r="AK25" i="4"/>
  <c r="AK28" i="4"/>
  <c r="AK31" i="4"/>
  <c r="AB47" i="4"/>
  <c r="AE47" i="4" s="1"/>
  <c r="AA47" i="4"/>
  <c r="AC47" i="4"/>
  <c r="AF47" i="4" s="1"/>
  <c r="AA36" i="4"/>
  <c r="AC36" i="4"/>
  <c r="AF36" i="4" s="1"/>
  <c r="AA15" i="4"/>
  <c r="AJ15" i="4" s="1"/>
  <c r="AC15" i="4"/>
  <c r="AF15" i="4" s="1"/>
  <c r="AA26" i="4"/>
  <c r="AD26" i="4" s="1"/>
  <c r="AK27" i="4" s="1"/>
  <c r="AC26" i="4"/>
  <c r="AF26" i="4" s="1"/>
  <c r="AB48" i="4"/>
  <c r="AE48" i="4" s="1"/>
  <c r="AA48" i="4"/>
  <c r="AC48" i="4"/>
  <c r="AF48" i="4" s="1"/>
  <c r="AK32" i="4"/>
  <c r="AB44" i="4"/>
  <c r="AE44" i="4" s="1"/>
  <c r="AA44" i="4"/>
  <c r="AC44" i="4"/>
  <c r="AF44" i="4" s="1"/>
  <c r="AA16" i="4"/>
  <c r="AC16" i="4"/>
  <c r="AF16" i="4" s="1"/>
  <c r="AF4" i="4"/>
  <c r="AJ9" i="4"/>
  <c r="AA7" i="4"/>
  <c r="AD7" i="4" s="1"/>
  <c r="AC7" i="4"/>
  <c r="AF7" i="4" s="1"/>
  <c r="AA10" i="4"/>
  <c r="AC10" i="4"/>
  <c r="AF10" i="4" s="1"/>
  <c r="AA8" i="4"/>
  <c r="AC8" i="4"/>
  <c r="AF8" i="4" s="1"/>
  <c r="A17" i="5"/>
  <c r="A16" i="6"/>
  <c r="S6" i="5"/>
  <c r="U4" i="1"/>
  <c r="H6" i="5"/>
  <c r="U12" i="1"/>
  <c r="H14" i="5"/>
  <c r="H22" i="5"/>
  <c r="U20" i="1"/>
  <c r="U28" i="1"/>
  <c r="H30" i="5"/>
  <c r="U36" i="1"/>
  <c r="H38" i="5"/>
  <c r="U44" i="1"/>
  <c r="H46" i="5"/>
  <c r="U5" i="1"/>
  <c r="H7" i="5"/>
  <c r="U13" i="1"/>
  <c r="H15" i="5"/>
  <c r="U21" i="1"/>
  <c r="H23" i="5"/>
  <c r="U29" i="1"/>
  <c r="H31" i="5"/>
  <c r="U37" i="1"/>
  <c r="H39" i="5"/>
  <c r="U45" i="1"/>
  <c r="H47" i="5"/>
  <c r="U30" i="1"/>
  <c r="H32" i="5"/>
  <c r="H9" i="5"/>
  <c r="U7" i="1"/>
  <c r="U15" i="1"/>
  <c r="H17" i="5"/>
  <c r="U23" i="1"/>
  <c r="H25" i="5"/>
  <c r="H33" i="5"/>
  <c r="U31" i="1"/>
  <c r="H41" i="5"/>
  <c r="U39" i="1"/>
  <c r="U47" i="1"/>
  <c r="H49" i="5"/>
  <c r="U38" i="1"/>
  <c r="H40" i="5"/>
  <c r="H10" i="5"/>
  <c r="U8" i="1"/>
  <c r="H18" i="5"/>
  <c r="U16" i="1"/>
  <c r="H26" i="5"/>
  <c r="U24" i="1"/>
  <c r="H34" i="5"/>
  <c r="U32" i="1"/>
  <c r="H42" i="5"/>
  <c r="U40" i="1"/>
  <c r="H50" i="5"/>
  <c r="U48" i="1"/>
  <c r="U22" i="1"/>
  <c r="H24" i="5"/>
  <c r="H27" i="5"/>
  <c r="U25" i="1"/>
  <c r="H35" i="5"/>
  <c r="U33" i="1"/>
  <c r="H43" i="5"/>
  <c r="U41" i="1"/>
  <c r="H51" i="5"/>
  <c r="U49" i="1"/>
  <c r="U14" i="1"/>
  <c r="H16" i="5"/>
  <c r="H11" i="5"/>
  <c r="U9" i="1"/>
  <c r="H12" i="5"/>
  <c r="U10" i="1"/>
  <c r="H20" i="5"/>
  <c r="U18" i="1"/>
  <c r="H28" i="5"/>
  <c r="U26" i="1"/>
  <c r="H36" i="5"/>
  <c r="U34" i="1"/>
  <c r="H44" i="5"/>
  <c r="U42" i="1"/>
  <c r="U6" i="1"/>
  <c r="H8" i="5"/>
  <c r="U46" i="1"/>
  <c r="H48" i="5"/>
  <c r="H19" i="5"/>
  <c r="U17" i="1"/>
  <c r="H13" i="5"/>
  <c r="U11" i="1"/>
  <c r="H21" i="5"/>
  <c r="U19" i="1"/>
  <c r="H29" i="5"/>
  <c r="U27" i="1"/>
  <c r="H37" i="5"/>
  <c r="U35" i="1"/>
  <c r="H45" i="5"/>
  <c r="U43" i="1"/>
  <c r="AB15" i="4"/>
  <c r="AE15" i="4" s="1"/>
  <c r="AB39" i="4"/>
  <c r="AE39" i="4" s="1"/>
  <c r="AJ35" i="4"/>
  <c r="AB7" i="4"/>
  <c r="AE7" i="4" s="1"/>
  <c r="AB16" i="4"/>
  <c r="AE16" i="4" s="1"/>
  <c r="AJ27" i="4"/>
  <c r="AJ43" i="4"/>
  <c r="AD43" i="4"/>
  <c r="AJ46" i="4"/>
  <c r="AD46" i="4"/>
  <c r="S49" i="4"/>
  <c r="X49" i="4"/>
  <c r="AJ42" i="4"/>
  <c r="AD42" i="4"/>
  <c r="AB36" i="4"/>
  <c r="AE36" i="4" s="1"/>
  <c r="AJ20" i="4"/>
  <c r="AJ28" i="4"/>
  <c r="AB8" i="4"/>
  <c r="AE8" i="4" s="1"/>
  <c r="E9" i="3"/>
  <c r="G8" i="3"/>
  <c r="F8" i="3"/>
  <c r="E21" i="3"/>
  <c r="G20" i="3"/>
  <c r="F20" i="3"/>
  <c r="AJ32" i="4"/>
  <c r="AJ4" i="4"/>
  <c r="AJ40" i="4"/>
  <c r="AJ3" i="4"/>
  <c r="AJ33" i="4"/>
  <c r="AJ23" i="4"/>
  <c r="P20" i="1"/>
  <c r="P44" i="1"/>
  <c r="P5" i="1"/>
  <c r="P45" i="1"/>
  <c r="P6" i="1"/>
  <c r="P38" i="1"/>
  <c r="P7" i="1"/>
  <c r="P15" i="1"/>
  <c r="P23" i="1"/>
  <c r="P31" i="1"/>
  <c r="P39" i="1"/>
  <c r="P47" i="1"/>
  <c r="P12" i="1"/>
  <c r="P36" i="1"/>
  <c r="P13" i="1"/>
  <c r="P37" i="1"/>
  <c r="P14" i="1"/>
  <c r="P30" i="1"/>
  <c r="P8" i="1"/>
  <c r="P24" i="1"/>
  <c r="P48" i="1"/>
  <c r="P17" i="1"/>
  <c r="P49" i="1"/>
  <c r="P10" i="1"/>
  <c r="P18" i="1"/>
  <c r="P26" i="1"/>
  <c r="P34" i="1"/>
  <c r="P42" i="1"/>
  <c r="P28" i="1"/>
  <c r="P21" i="1"/>
  <c r="P29" i="1"/>
  <c r="P22" i="1"/>
  <c r="P46" i="1"/>
  <c r="P16" i="1"/>
  <c r="P32" i="1"/>
  <c r="P40" i="1"/>
  <c r="P9" i="1"/>
  <c r="P25" i="1"/>
  <c r="P33" i="1"/>
  <c r="P41" i="1"/>
  <c r="P11" i="1"/>
  <c r="P19" i="1"/>
  <c r="P27" i="1"/>
  <c r="P35" i="1"/>
  <c r="P43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P4" i="1"/>
  <c r="V11" i="5" l="1"/>
  <c r="Y11" i="5" s="1"/>
  <c r="W11" i="5"/>
  <c r="Z11" i="5" s="1"/>
  <c r="AC11" i="5"/>
  <c r="AB11" i="5"/>
  <c r="AA11" i="5"/>
  <c r="U11" i="5"/>
  <c r="X11" i="5" s="1"/>
  <c r="AB40" i="5"/>
  <c r="AC40" i="5"/>
  <c r="AA40" i="5"/>
  <c r="W40" i="5"/>
  <c r="Z40" i="5" s="1"/>
  <c r="V40" i="5"/>
  <c r="Y40" i="5" s="1"/>
  <c r="U40" i="5"/>
  <c r="X40" i="5" s="1"/>
  <c r="AC44" i="5"/>
  <c r="AA44" i="5"/>
  <c r="AB44" i="5"/>
  <c r="V44" i="5"/>
  <c r="Y44" i="5" s="1"/>
  <c r="W44" i="5"/>
  <c r="Z44" i="5" s="1"/>
  <c r="U44" i="5"/>
  <c r="X44" i="5" s="1"/>
  <c r="AB24" i="5"/>
  <c r="AC24" i="5"/>
  <c r="AA24" i="5"/>
  <c r="V24" i="5"/>
  <c r="Y24" i="5" s="1"/>
  <c r="W24" i="5"/>
  <c r="Z24" i="5" s="1"/>
  <c r="U24" i="5"/>
  <c r="X24" i="5" s="1"/>
  <c r="AB16" i="5"/>
  <c r="W16" i="5"/>
  <c r="Z16" i="5" s="1"/>
  <c r="V16" i="5"/>
  <c r="Y16" i="5" s="1"/>
  <c r="AC16" i="5"/>
  <c r="AA16" i="5"/>
  <c r="U16" i="5"/>
  <c r="AA10" i="5"/>
  <c r="V10" i="5"/>
  <c r="Y10" i="5" s="1"/>
  <c r="AB10" i="5"/>
  <c r="AC10" i="5"/>
  <c r="W10" i="5"/>
  <c r="Z10" i="5" s="1"/>
  <c r="U10" i="5"/>
  <c r="X10" i="5" s="1"/>
  <c r="AC12" i="5"/>
  <c r="AA12" i="5"/>
  <c r="V12" i="5"/>
  <c r="Y12" i="5" s="1"/>
  <c r="W12" i="5"/>
  <c r="Z12" i="5" s="1"/>
  <c r="AB12" i="5"/>
  <c r="U12" i="5"/>
  <c r="X12" i="5" s="1"/>
  <c r="AB32" i="5"/>
  <c r="AA32" i="5"/>
  <c r="W32" i="5"/>
  <c r="Z32" i="5" s="1"/>
  <c r="V32" i="5"/>
  <c r="Y32" i="5" s="1"/>
  <c r="AC32" i="5"/>
  <c r="U32" i="5"/>
  <c r="X32" i="5" s="1"/>
  <c r="V27" i="5"/>
  <c r="Y27" i="5" s="1"/>
  <c r="AC27" i="5"/>
  <c r="AA27" i="5"/>
  <c r="W27" i="5"/>
  <c r="Z27" i="5" s="1"/>
  <c r="AB27" i="5"/>
  <c r="U27" i="5"/>
  <c r="AB25" i="5"/>
  <c r="AA25" i="5"/>
  <c r="V25" i="5"/>
  <c r="Y25" i="5" s="1"/>
  <c r="W25" i="5"/>
  <c r="Z25" i="5" s="1"/>
  <c r="AC25" i="5"/>
  <c r="U25" i="5"/>
  <c r="X25" i="5" s="1"/>
  <c r="W50" i="5"/>
  <c r="Z50" i="5" s="1"/>
  <c r="AB50" i="5"/>
  <c r="V50" i="5"/>
  <c r="Y50" i="5" s="1"/>
  <c r="AC50" i="5"/>
  <c r="AA50" i="5"/>
  <c r="U50" i="5"/>
  <c r="X50" i="5" s="1"/>
  <c r="AA45" i="5"/>
  <c r="W45" i="5"/>
  <c r="Z45" i="5" s="1"/>
  <c r="V45" i="5"/>
  <c r="Y45" i="5" s="1"/>
  <c r="AC45" i="5"/>
  <c r="AB45" i="5"/>
  <c r="U45" i="5"/>
  <c r="X45" i="5" s="1"/>
  <c r="AA36" i="5"/>
  <c r="AC36" i="5"/>
  <c r="W36" i="5"/>
  <c r="Z36" i="5" s="1"/>
  <c r="AB36" i="5"/>
  <c r="V36" i="5"/>
  <c r="Y36" i="5" s="1"/>
  <c r="U36" i="5"/>
  <c r="X36" i="5" s="1"/>
  <c r="W17" i="5"/>
  <c r="Z17" i="5" s="1"/>
  <c r="V17" i="5"/>
  <c r="Y17" i="5" s="1"/>
  <c r="AA17" i="5"/>
  <c r="AB17" i="5"/>
  <c r="AC17" i="5"/>
  <c r="U17" i="5"/>
  <c r="X17" i="5" s="1"/>
  <c r="W49" i="5"/>
  <c r="Z49" i="5" s="1"/>
  <c r="AB49" i="5"/>
  <c r="V49" i="5"/>
  <c r="Y49" i="5" s="1"/>
  <c r="AC49" i="5"/>
  <c r="AA49" i="5"/>
  <c r="U49" i="5"/>
  <c r="X49" i="5" s="1"/>
  <c r="AC28" i="5"/>
  <c r="V28" i="5"/>
  <c r="Y28" i="5" s="1"/>
  <c r="AA28" i="5"/>
  <c r="AB28" i="5"/>
  <c r="W28" i="5"/>
  <c r="Z28" i="5" s="1"/>
  <c r="U28" i="5"/>
  <c r="X28" i="5" s="1"/>
  <c r="W9" i="5"/>
  <c r="Z9" i="5" s="1"/>
  <c r="V9" i="5"/>
  <c r="Y9" i="5" s="1"/>
  <c r="AC9" i="5"/>
  <c r="AA9" i="5"/>
  <c r="AB9" i="5"/>
  <c r="U9" i="5"/>
  <c r="W18" i="5"/>
  <c r="Z18" i="5" s="1"/>
  <c r="V18" i="5"/>
  <c r="Y18" i="5" s="1"/>
  <c r="AC18" i="5"/>
  <c r="AA18" i="5"/>
  <c r="AB18" i="5"/>
  <c r="U18" i="5"/>
  <c r="X18" i="5" s="1"/>
  <c r="V42" i="5"/>
  <c r="Y42" i="5" s="1"/>
  <c r="AC42" i="5"/>
  <c r="AA42" i="5"/>
  <c r="W42" i="5"/>
  <c r="Z42" i="5" s="1"/>
  <c r="AB42" i="5"/>
  <c r="U42" i="5"/>
  <c r="X42" i="5" s="1"/>
  <c r="AA39" i="5"/>
  <c r="W39" i="5"/>
  <c r="Z39" i="5" s="1"/>
  <c r="AB39" i="5"/>
  <c r="V39" i="5"/>
  <c r="Y39" i="5" s="1"/>
  <c r="AC39" i="5"/>
  <c r="U39" i="5"/>
  <c r="X39" i="5" s="1"/>
  <c r="V51" i="5"/>
  <c r="Y51" i="5" s="1"/>
  <c r="AC51" i="5"/>
  <c r="AA51" i="5"/>
  <c r="W51" i="5"/>
  <c r="Z51" i="5" s="1"/>
  <c r="AB51" i="5"/>
  <c r="U51" i="5"/>
  <c r="X51" i="5" s="1"/>
  <c r="V19" i="5"/>
  <c r="Y19" i="5" s="1"/>
  <c r="AC19" i="5"/>
  <c r="AB19" i="5"/>
  <c r="W19" i="5"/>
  <c r="Z19" i="5" s="1"/>
  <c r="AA19" i="5"/>
  <c r="U19" i="5"/>
  <c r="X19" i="5" s="1"/>
  <c r="AC20" i="5"/>
  <c r="AB20" i="5"/>
  <c r="AA20" i="5"/>
  <c r="W20" i="5"/>
  <c r="Z20" i="5" s="1"/>
  <c r="V20" i="5"/>
  <c r="Y20" i="5" s="1"/>
  <c r="U20" i="5"/>
  <c r="X20" i="5" s="1"/>
  <c r="AA33" i="5"/>
  <c r="V33" i="5"/>
  <c r="Y33" i="5" s="1"/>
  <c r="AC33" i="5"/>
  <c r="W33" i="5"/>
  <c r="Z33" i="5" s="1"/>
  <c r="AB33" i="5"/>
  <c r="U33" i="5"/>
  <c r="X33" i="5" s="1"/>
  <c r="W47" i="5"/>
  <c r="Z47" i="5" s="1"/>
  <c r="AB47" i="5"/>
  <c r="AC47" i="5"/>
  <c r="V47" i="5"/>
  <c r="Y47" i="5" s="1"/>
  <c r="AA47" i="5"/>
  <c r="U47" i="5"/>
  <c r="X47" i="5" s="1"/>
  <c r="W41" i="5"/>
  <c r="Z41" i="5" s="1"/>
  <c r="V41" i="5"/>
  <c r="Y41" i="5" s="1"/>
  <c r="AB41" i="5"/>
  <c r="AC41" i="5"/>
  <c r="AA41" i="5"/>
  <c r="U41" i="5"/>
  <c r="X41" i="5" s="1"/>
  <c r="AB26" i="5"/>
  <c r="V26" i="5"/>
  <c r="Y26" i="5" s="1"/>
  <c r="W26" i="5"/>
  <c r="Z26" i="5" s="1"/>
  <c r="AC26" i="5"/>
  <c r="AA26" i="5"/>
  <c r="U26" i="5"/>
  <c r="X26" i="5" s="1"/>
  <c r="X8" i="5"/>
  <c r="A30" i="3"/>
  <c r="B29" i="3"/>
  <c r="C29" i="3" s="1"/>
  <c r="T28" i="5"/>
  <c r="T9" i="5"/>
  <c r="X9" i="5"/>
  <c r="T18" i="5"/>
  <c r="T42" i="5"/>
  <c r="T47" i="5"/>
  <c r="T41" i="5"/>
  <c r="T26" i="5"/>
  <c r="T20" i="5"/>
  <c r="T11" i="5"/>
  <c r="T40" i="5"/>
  <c r="T44" i="5"/>
  <c r="T19" i="5"/>
  <c r="T33" i="5"/>
  <c r="T24" i="5"/>
  <c r="T16" i="5"/>
  <c r="X16" i="5"/>
  <c r="T12" i="5"/>
  <c r="T36" i="5"/>
  <c r="T17" i="5"/>
  <c r="T49" i="5"/>
  <c r="T10" i="5"/>
  <c r="T39" i="5"/>
  <c r="T51" i="5"/>
  <c r="T32" i="5"/>
  <c r="X27" i="5"/>
  <c r="T27" i="5"/>
  <c r="T25" i="5"/>
  <c r="T50" i="5"/>
  <c r="T45" i="5"/>
  <c r="O48" i="5"/>
  <c r="P48" i="6"/>
  <c r="O6" i="5"/>
  <c r="P6" i="6"/>
  <c r="O29" i="5"/>
  <c r="P29" i="6"/>
  <c r="O37" i="5"/>
  <c r="P37" i="6"/>
  <c r="O21" i="5"/>
  <c r="P21" i="6"/>
  <c r="O13" i="5"/>
  <c r="P13" i="6"/>
  <c r="AD45" i="4"/>
  <c r="AK46" i="4" s="1"/>
  <c r="AJ26" i="4"/>
  <c r="AK26" i="4"/>
  <c r="AK34" i="4"/>
  <c r="AJ34" i="4"/>
  <c r="AK42" i="4"/>
  <c r="AK43" i="4"/>
  <c r="AK7" i="4"/>
  <c r="AF51" i="4"/>
  <c r="AF50" i="4"/>
  <c r="AF49" i="4"/>
  <c r="AJ10" i="4"/>
  <c r="AD10" i="4"/>
  <c r="AC49" i="4"/>
  <c r="A18" i="5"/>
  <c r="A17" i="6"/>
  <c r="P46" i="5"/>
  <c r="Q46" i="6" s="1"/>
  <c r="P30" i="5"/>
  <c r="Q30" i="6" s="1"/>
  <c r="P14" i="5"/>
  <c r="Q14" i="6" s="1"/>
  <c r="P48" i="5"/>
  <c r="Q48" i="6" s="1"/>
  <c r="P16" i="5"/>
  <c r="Q16" i="6" s="1"/>
  <c r="P40" i="5"/>
  <c r="Q40" i="6" s="1"/>
  <c r="P25" i="5"/>
  <c r="Q25" i="6" s="1"/>
  <c r="P47" i="5"/>
  <c r="Q47" i="6" s="1"/>
  <c r="P31" i="5"/>
  <c r="Q31" i="6" s="1"/>
  <c r="P15" i="5"/>
  <c r="Q15" i="6" s="1"/>
  <c r="P37" i="5"/>
  <c r="Q37" i="6" s="1"/>
  <c r="P21" i="5"/>
  <c r="Q21" i="6" s="1"/>
  <c r="P19" i="5"/>
  <c r="Q19" i="6" s="1"/>
  <c r="P36" i="5"/>
  <c r="Q36" i="6" s="1"/>
  <c r="P20" i="5"/>
  <c r="Q20" i="6" s="1"/>
  <c r="P11" i="5"/>
  <c r="Q11" i="6" s="1"/>
  <c r="P51" i="5"/>
  <c r="Q51" i="6" s="1"/>
  <c r="P35" i="5"/>
  <c r="Q35" i="6" s="1"/>
  <c r="P42" i="5"/>
  <c r="Q42" i="6" s="1"/>
  <c r="P26" i="5"/>
  <c r="Q26" i="6" s="1"/>
  <c r="P10" i="5"/>
  <c r="Q10" i="6" s="1"/>
  <c r="P33" i="5"/>
  <c r="Q33" i="6" s="1"/>
  <c r="P22" i="5"/>
  <c r="Q22" i="6" s="1"/>
  <c r="P38" i="5"/>
  <c r="Q38" i="6" s="1"/>
  <c r="P6" i="5"/>
  <c r="Q6" i="6" s="1"/>
  <c r="P8" i="5"/>
  <c r="Q8" i="6" s="1"/>
  <c r="P24" i="5"/>
  <c r="Q24" i="6" s="1"/>
  <c r="P49" i="5"/>
  <c r="Q49" i="6" s="1"/>
  <c r="P17" i="5"/>
  <c r="Q17" i="6" s="1"/>
  <c r="P32" i="5"/>
  <c r="Q32" i="6" s="1"/>
  <c r="P39" i="5"/>
  <c r="Q39" i="6" s="1"/>
  <c r="P23" i="5"/>
  <c r="Q23" i="6" s="1"/>
  <c r="P7" i="5"/>
  <c r="Q7" i="6" s="1"/>
  <c r="P45" i="5"/>
  <c r="Q45" i="6" s="1"/>
  <c r="P29" i="5"/>
  <c r="Q29" i="6" s="1"/>
  <c r="P13" i="5"/>
  <c r="Q13" i="6" s="1"/>
  <c r="P44" i="5"/>
  <c r="Q44" i="6" s="1"/>
  <c r="P28" i="5"/>
  <c r="Q28" i="6" s="1"/>
  <c r="P12" i="5"/>
  <c r="Q12" i="6" s="1"/>
  <c r="P43" i="5"/>
  <c r="Q43" i="6" s="1"/>
  <c r="P27" i="5"/>
  <c r="Q27" i="6" s="1"/>
  <c r="P50" i="5"/>
  <c r="Q50" i="6" s="1"/>
  <c r="P34" i="5"/>
  <c r="Q34" i="6" s="1"/>
  <c r="P18" i="5"/>
  <c r="Q18" i="6" s="1"/>
  <c r="P41" i="5"/>
  <c r="Q41" i="6" s="1"/>
  <c r="P9" i="5"/>
  <c r="Q9" i="6" s="1"/>
  <c r="AD36" i="4"/>
  <c r="AJ36" i="4"/>
  <c r="AD39" i="4"/>
  <c r="AJ39" i="4"/>
  <c r="AJ44" i="4"/>
  <c r="AD44" i="4"/>
  <c r="AK45" i="4" s="1"/>
  <c r="AD16" i="4"/>
  <c r="AJ16" i="4"/>
  <c r="AJ47" i="4"/>
  <c r="AD47" i="4"/>
  <c r="AJ48" i="4"/>
  <c r="AD48" i="4"/>
  <c r="AJ7" i="4"/>
  <c r="AD8" i="4"/>
  <c r="AK9" i="4" s="1"/>
  <c r="AJ8" i="4"/>
  <c r="E10" i="3"/>
  <c r="G9" i="3"/>
  <c r="F9" i="3"/>
  <c r="E22" i="3"/>
  <c r="G21" i="3"/>
  <c r="F21" i="3"/>
  <c r="AJ49" i="4"/>
  <c r="AA37" i="5" l="1"/>
  <c r="AA53" i="5" s="1"/>
  <c r="W37" i="5"/>
  <c r="Z37" i="5" s="1"/>
  <c r="Z53" i="5" s="1"/>
  <c r="AB37" i="5"/>
  <c r="AB53" i="5" s="1"/>
  <c r="V37" i="5"/>
  <c r="Y37" i="5" s="1"/>
  <c r="Y53" i="5" s="1"/>
  <c r="AC37" i="5"/>
  <c r="AC53" i="5" s="1"/>
  <c r="U37" i="5"/>
  <c r="X37" i="5" s="1"/>
  <c r="X53" i="5" s="1"/>
  <c r="AA13" i="5"/>
  <c r="W13" i="5"/>
  <c r="Z13" i="5" s="1"/>
  <c r="AB13" i="5"/>
  <c r="V13" i="5"/>
  <c r="Y13" i="5" s="1"/>
  <c r="AC13" i="5"/>
  <c r="U13" i="5"/>
  <c r="X13" i="5" s="1"/>
  <c r="AC29" i="5"/>
  <c r="AA29" i="5"/>
  <c r="V29" i="5"/>
  <c r="Y29" i="5" s="1"/>
  <c r="W29" i="5"/>
  <c r="Z29" i="5" s="1"/>
  <c r="AB29" i="5"/>
  <c r="U29" i="5"/>
  <c r="X29" i="5" s="1"/>
  <c r="V21" i="5"/>
  <c r="Y21" i="5" s="1"/>
  <c r="AA21" i="5"/>
  <c r="W21" i="5"/>
  <c r="Z21" i="5" s="1"/>
  <c r="AC21" i="5"/>
  <c r="AC52" i="5" s="1"/>
  <c r="AB21" i="5"/>
  <c r="U21" i="5"/>
  <c r="X21" i="5" s="1"/>
  <c r="A31" i="3"/>
  <c r="B30" i="3"/>
  <c r="C30" i="3" s="1"/>
  <c r="AB48" i="5"/>
  <c r="AC48" i="5"/>
  <c r="AA48" i="5"/>
  <c r="V48" i="5"/>
  <c r="Y48" i="5" s="1"/>
  <c r="W48" i="5"/>
  <c r="Z48" i="5" s="1"/>
  <c r="U48" i="5"/>
  <c r="X48" i="5" s="1"/>
  <c r="T29" i="5"/>
  <c r="T48" i="5"/>
  <c r="T37" i="5"/>
  <c r="T21" i="5"/>
  <c r="T13" i="5"/>
  <c r="AK37" i="4"/>
  <c r="AK36" i="4"/>
  <c r="AK40" i="4"/>
  <c r="AK39" i="4"/>
  <c r="AK48" i="4"/>
  <c r="AK44" i="4"/>
  <c r="AK17" i="4"/>
  <c r="AK16" i="4"/>
  <c r="AD50" i="4"/>
  <c r="AK47" i="4"/>
  <c r="AD49" i="4"/>
  <c r="AK8" i="4"/>
  <c r="AK11" i="4"/>
  <c r="AK10" i="4"/>
  <c r="AD51" i="4"/>
  <c r="A19" i="5"/>
  <c r="A18" i="6"/>
  <c r="E11" i="3"/>
  <c r="G10" i="3"/>
  <c r="F10" i="3"/>
  <c r="E23" i="3"/>
  <c r="G22" i="3"/>
  <c r="F22" i="3"/>
  <c r="AB52" i="5" l="1"/>
  <c r="Z52" i="5"/>
  <c r="Y52" i="5"/>
  <c r="X52" i="5"/>
  <c r="AA52" i="5"/>
  <c r="A32" i="3"/>
  <c r="B31" i="3"/>
  <c r="C31" i="3" s="1"/>
  <c r="U52" i="5"/>
  <c r="U53" i="5"/>
  <c r="A20" i="5"/>
  <c r="A19" i="6"/>
  <c r="E12" i="3"/>
  <c r="G11" i="3"/>
  <c r="F11" i="3"/>
  <c r="E24" i="3"/>
  <c r="G23" i="3"/>
  <c r="F23" i="3"/>
  <c r="A33" i="3" l="1"/>
  <c r="B32" i="3"/>
  <c r="C32" i="3" s="1"/>
  <c r="A21" i="5"/>
  <c r="A20" i="6"/>
  <c r="G12" i="3"/>
  <c r="F12" i="3"/>
  <c r="E25" i="3"/>
  <c r="G24" i="3"/>
  <c r="F24" i="3"/>
  <c r="A34" i="3" l="1"/>
  <c r="B34" i="3" s="1"/>
  <c r="C34" i="3" s="1"/>
  <c r="B33" i="3"/>
  <c r="C33" i="3" s="1"/>
  <c r="A22" i="5"/>
  <c r="A21" i="6"/>
  <c r="E26" i="3"/>
  <c r="G25" i="3"/>
  <c r="F25" i="3"/>
  <c r="A23" i="5" l="1"/>
  <c r="A22" i="6"/>
  <c r="E27" i="3"/>
  <c r="G26" i="3"/>
  <c r="F26" i="3"/>
  <c r="A24" i="5" l="1"/>
  <c r="A23" i="6"/>
  <c r="E28" i="3"/>
  <c r="G27" i="3"/>
  <c r="F27" i="3"/>
  <c r="A25" i="5" l="1"/>
  <c r="A24" i="6"/>
  <c r="E29" i="3"/>
  <c r="G28" i="3"/>
  <c r="F28" i="3"/>
  <c r="A26" i="5" l="1"/>
  <c r="A25" i="6"/>
  <c r="E30" i="3"/>
  <c r="G29" i="3"/>
  <c r="F29" i="3"/>
  <c r="A27" i="5" l="1"/>
  <c r="A26" i="6"/>
  <c r="E31" i="3"/>
  <c r="G30" i="3"/>
  <c r="F30" i="3"/>
  <c r="A28" i="5" l="1"/>
  <c r="A27" i="6"/>
  <c r="E32" i="3"/>
  <c r="G31" i="3"/>
  <c r="F31" i="3"/>
  <c r="A29" i="5" l="1"/>
  <c r="A28" i="6"/>
  <c r="E33" i="3"/>
  <c r="G32" i="3"/>
  <c r="F32" i="3"/>
  <c r="A30" i="5" l="1"/>
  <c r="A29" i="6"/>
  <c r="E34" i="3"/>
  <c r="G33" i="3"/>
  <c r="F33" i="3"/>
  <c r="A31" i="5" l="1"/>
  <c r="A30" i="6"/>
  <c r="E35" i="3"/>
  <c r="E36" i="3" s="1"/>
  <c r="E37" i="3" s="1"/>
  <c r="E38" i="3" s="1"/>
  <c r="E39" i="3" s="1"/>
  <c r="E40" i="3" s="1"/>
  <c r="G34" i="3"/>
  <c r="F34" i="3"/>
  <c r="A32" i="5" l="1"/>
  <c r="A31" i="6"/>
  <c r="A33" i="5" l="1"/>
  <c r="A32" i="6"/>
  <c r="A34" i="5" l="1"/>
  <c r="A33" i="6"/>
  <c r="A35" i="5" l="1"/>
  <c r="A34" i="6"/>
  <c r="A36" i="5" l="1"/>
  <c r="A35" i="6"/>
  <c r="A37" i="5" l="1"/>
  <c r="A36" i="6"/>
  <c r="A38" i="5" l="1"/>
  <c r="A37" i="6"/>
  <c r="A39" i="5" l="1"/>
  <c r="A38" i="6"/>
  <c r="A40" i="5" l="1"/>
  <c r="A39" i="6"/>
  <c r="A41" i="5" l="1"/>
  <c r="A40" i="6"/>
  <c r="A42" i="5" l="1"/>
  <c r="A41" i="6"/>
  <c r="A43" i="5" l="1"/>
  <c r="A42" i="6"/>
  <c r="A44" i="5" l="1"/>
  <c r="A43" i="6"/>
  <c r="A45" i="5" l="1"/>
  <c r="A44" i="6"/>
  <c r="A46" i="5" l="1"/>
  <c r="A45" i="6"/>
  <c r="A47" i="5" l="1"/>
  <c r="A46" i="6"/>
  <c r="A48" i="5" l="1"/>
  <c r="A47" i="6"/>
  <c r="A49" i="5" l="1"/>
  <c r="A48" i="6"/>
  <c r="A50" i="5" l="1"/>
  <c r="A49" i="6"/>
  <c r="A51" i="5" l="1"/>
  <c r="A51" i="6" s="1"/>
  <c r="A50" i="6"/>
</calcChain>
</file>

<file path=xl/sharedStrings.xml><?xml version="1.0" encoding="utf-8"?>
<sst xmlns="http://schemas.openxmlformats.org/spreadsheetml/2006/main" count="131" uniqueCount="103">
  <si>
    <t xml:space="preserve">Year </t>
  </si>
  <si>
    <t xml:space="preserve">Interst on Debt </t>
  </si>
  <si>
    <t>Debt/Assets</t>
  </si>
  <si>
    <t>Depreciation</t>
  </si>
  <si>
    <t>Cost of Goods Sold including Depreciation</t>
  </si>
  <si>
    <t>Cost of Good Sold excluding interest and Depreciation</t>
  </si>
  <si>
    <t>Dividends: common and preferred</t>
  </si>
  <si>
    <t>Interest Bearing Debt</t>
  </si>
  <si>
    <t>Value of Associated Stocks and Bonds owned</t>
  </si>
  <si>
    <t>Revenue Without Associates</t>
  </si>
  <si>
    <t>GNP at 1958 prices</t>
  </si>
  <si>
    <t>Growth Rate of GNP</t>
  </si>
  <si>
    <t>All Values in Thousands of Dollars.  Section Without Affiliates</t>
  </si>
  <si>
    <t>Total  Assets Incld. Stocks and Bonds</t>
  </si>
  <si>
    <t>Debt/Assets = b without affiliates</t>
  </si>
  <si>
    <t>All Values in Thousands of Dollars.  Section Without Affiliates. All Calculations are For Model combining wages</t>
  </si>
  <si>
    <t>Wage Bill</t>
  </si>
  <si>
    <t>Year         Computat For Models with Wages</t>
  </si>
  <si>
    <t xml:space="preserve">Total Revenue Including Affiliates </t>
  </si>
  <si>
    <t>Affilicates Income</t>
  </si>
  <si>
    <t>Revenue Without Affiliates</t>
  </si>
  <si>
    <t>Total Assets Without Affiliates</t>
  </si>
  <si>
    <t>profit ratio pt</t>
  </si>
  <si>
    <t>Value Added</t>
  </si>
  <si>
    <t>Adjusted Wage Bill</t>
  </si>
  <si>
    <t>Share Profit Appoach No Premium</t>
  </si>
  <si>
    <t>Wholesale price index for Industrial Commodities 1913=100</t>
  </si>
  <si>
    <t>Real Revenue in 1913 prices</t>
  </si>
  <si>
    <t xml:space="preserve">Profit Share Wage Approach </t>
  </si>
  <si>
    <t>Profit Share wage approach no adjustment</t>
  </si>
  <si>
    <t>Theta</t>
  </si>
  <si>
    <t>1/theta</t>
  </si>
  <si>
    <t>DC/DM</t>
  </si>
  <si>
    <t>1/(DC/DM)</t>
  </si>
  <si>
    <t>theta</t>
  </si>
  <si>
    <t>D*/DM with 0 placed at all negative elasticity  30</t>
  </si>
  <si>
    <t>wt/(1-pt) premium 1.40</t>
  </si>
  <si>
    <t>Share Profit Approach Premium  1.40</t>
  </si>
  <si>
    <t xml:space="preserve">Year        </t>
  </si>
  <si>
    <t>D*/DM with 0 placed at all negative elasticity  40</t>
  </si>
  <si>
    <t>DM/D* 40</t>
  </si>
  <si>
    <t xml:space="preserve"> wt/(1-pt) No Premium  ALPHA t</t>
  </si>
  <si>
    <t>DM/D* 30</t>
  </si>
  <si>
    <t>D*/DM with 0 at negative elasticities  20</t>
  </si>
  <si>
    <t>dm/d* 20</t>
  </si>
  <si>
    <t>Two Year Moving Average Speed of Diffusion</t>
  </si>
  <si>
    <t>Nominal Rental on Capital</t>
  </si>
  <si>
    <t>Relative capital Share with the rental</t>
  </si>
  <si>
    <t>Summary of Computations in March 2010</t>
  </si>
  <si>
    <t>Net Revenue without affiliates</t>
  </si>
  <si>
    <t>Total Interest bearing debt</t>
  </si>
  <si>
    <t>total interest cost</t>
  </si>
  <si>
    <t>employed</t>
  </si>
  <si>
    <t>value added</t>
  </si>
  <si>
    <t>Nominal Rent from Chapter 3</t>
  </si>
  <si>
    <t>$thous</t>
  </si>
  <si>
    <t>Tangible Assets without affiliates</t>
  </si>
  <si>
    <t>Cost of Good sold exluding interest and depreciation</t>
  </si>
  <si>
    <t>Adjusted Wage bill</t>
  </si>
  <si>
    <t>Labor Share</t>
  </si>
  <si>
    <t>(labor share)/ (capital Share)</t>
  </si>
  <si>
    <t>alpha</t>
  </si>
  <si>
    <t>$Thousands</t>
  </si>
  <si>
    <t>Depreciation rate</t>
  </si>
  <si>
    <t>Bond Rate: Nominal Railroad Bond Rate (History X 476) Moody's Aaa from 1930</t>
  </si>
  <si>
    <t>Capital Share with GE Data</t>
  </si>
  <si>
    <t>Share of profits</t>
  </si>
  <si>
    <t>Share of profits With GE data</t>
  </si>
  <si>
    <t>Cost of Goods Sold including Depreciation before taxes and interest FFF</t>
  </si>
  <si>
    <t>Depreciation FFF</t>
  </si>
  <si>
    <t>Federal Income and Excess Profit Tax FFF</t>
  </si>
  <si>
    <t>Revenue From GE operation Exluding Associates and Financial FFF</t>
  </si>
  <si>
    <t>Fixed Assets FFF</t>
  </si>
  <si>
    <t>Cash FFF</t>
  </si>
  <si>
    <t>Account Receivables FFF</t>
  </si>
  <si>
    <t>Account payable FFF</t>
  </si>
  <si>
    <t>Total Tangible Assets Without Associates FFF</t>
  </si>
  <si>
    <t>Inventories FFF</t>
  </si>
  <si>
    <t>Work in progress FFF</t>
  </si>
  <si>
    <t>Total Inventories on hand FFF</t>
  </si>
  <si>
    <t>Risk premium on capital (exclude inventories) Monopoly R sheet 8</t>
  </si>
  <si>
    <t>Rental rate on St&amp;Eq fully adjusted</t>
  </si>
  <si>
    <t>Rental Rate on Inventories</t>
  </si>
  <si>
    <t xml:space="preserve"> Capital Share</t>
  </si>
  <si>
    <t>Accounting profits</t>
  </si>
  <si>
    <t>Sales</t>
  </si>
  <si>
    <t xml:space="preserve">Value of structures and equipment </t>
  </si>
  <si>
    <t xml:space="preserve"> Wage bill</t>
  </si>
  <si>
    <t>Nominal interest rate</t>
  </si>
  <si>
    <t>production risk premium</t>
  </si>
  <si>
    <t>Four years moving average of relative price of fixed assts to CPI</t>
  </si>
  <si>
    <t>employment</t>
  </si>
  <si>
    <t>Labor share</t>
  </si>
  <si>
    <t>capital share</t>
  </si>
  <si>
    <t>share of profits</t>
  </si>
  <si>
    <t>Estimated capital elasticity</t>
  </si>
  <si>
    <t>Cost of Good sold including depreciation, before interest and income tax</t>
  </si>
  <si>
    <t>Rental Rate on Fixed Assets</t>
  </si>
  <si>
    <t>Expected price change of St&amp;Eq fully adjusted 1916-1922 and 1930-1933</t>
  </si>
  <si>
    <t>Speed of Diffusion All Monopoly</t>
  </si>
  <si>
    <t>Speed of diffusion with xi - 2.63</t>
  </si>
  <si>
    <t>Annual Delay 2.63</t>
  </si>
  <si>
    <t>Chapter 5: Data Appendix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</si>
</sst>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164" formatCode="0.000000"/>
    <numFmt numFmtId="165" formatCode="0.000"/>
    <numFmt numFmtId="166" formatCode="0.0000"/>
    <numFmt numFmtId="167" formatCode="0.0"/>
    <numFmt numFmtId="168" formatCode="0.0000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1" fillId="0" borderId="0" xfId="0" applyFont="1" applyAlignment="1">
      <alignment wrapText="1"/>
    </xf>
    <xf numFmtId="3" fontId="0" fillId="0" borderId="0" xfId="0" applyNumberFormat="1"/>
    <xf numFmtId="164" fontId="0" fillId="0" borderId="0" xfId="0" applyNumberFormat="1"/>
    <xf numFmtId="0" fontId="2" fillId="0" borderId="0" xfId="0" applyFont="1"/>
    <xf numFmtId="0" fontId="1" fillId="0" borderId="0" xfId="0" applyFont="1"/>
    <xf numFmtId="3" fontId="0" fillId="2" borderId="0" xfId="0" applyNumberFormat="1" applyFill="1"/>
    <xf numFmtId="1" fontId="0" fillId="0" borderId="0" xfId="0" applyNumberFormat="1"/>
    <xf numFmtId="165" fontId="1" fillId="0" borderId="0" xfId="0" applyNumberFormat="1" applyFont="1" applyAlignment="1">
      <alignment wrapText="1"/>
    </xf>
    <xf numFmtId="165" fontId="1" fillId="0" borderId="0" xfId="0" applyNumberFormat="1" applyFont="1"/>
    <xf numFmtId="165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2" fontId="1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167" fontId="0" fillId="0" borderId="0" xfId="0" applyNumberFormat="1"/>
    <xf numFmtId="167" fontId="1" fillId="0" borderId="0" xfId="0" applyNumberFormat="1" applyFont="1" applyAlignment="1">
      <alignment wrapText="1"/>
    </xf>
    <xf numFmtId="166" fontId="0" fillId="0" borderId="0" xfId="0" applyNumberFormat="1"/>
    <xf numFmtId="168" fontId="1" fillId="0" borderId="0" xfId="0" applyNumberFormat="1" applyFont="1" applyAlignment="1">
      <alignment wrapText="1"/>
    </xf>
    <xf numFmtId="168" fontId="0" fillId="0" borderId="0" xfId="0" applyNumberFormat="1" applyAlignment="1">
      <alignment wrapText="1"/>
    </xf>
    <xf numFmtId="168" fontId="0" fillId="0" borderId="0" xfId="0" applyNumberFormat="1"/>
    <xf numFmtId="11" fontId="0" fillId="0" borderId="0" xfId="0" applyNumberFormat="1"/>
    <xf numFmtId="0" fontId="3" fillId="0" borderId="0" xfId="0" applyFont="1"/>
    <xf numFmtId="0" fontId="4" fillId="0" borderId="0" xfId="0" applyFont="1" applyAlignment="1">
      <alignment wrapText="1"/>
    </xf>
    <xf numFmtId="6" fontId="0" fillId="0" borderId="0" xfId="0" applyNumberFormat="1"/>
    <xf numFmtId="2" fontId="0" fillId="3" borderId="0" xfId="0" applyNumberFormat="1" applyFill="1"/>
    <xf numFmtId="1" fontId="1" fillId="0" borderId="0" xfId="0" applyNumberFormat="1" applyFont="1" applyAlignment="1">
      <alignment wrapText="1"/>
    </xf>
    <xf numFmtId="2" fontId="5" fillId="0" borderId="0" xfId="1" applyNumberFormat="1"/>
    <xf numFmtId="0" fontId="6" fillId="0" borderId="0" xfId="0" applyFont="1" applyAlignment="1">
      <alignment wrapText="1"/>
    </xf>
    <xf numFmtId="0" fontId="5" fillId="0" borderId="0" xfId="1"/>
    <xf numFmtId="0" fontId="7" fillId="0" borderId="0" xfId="0" applyFont="1" applyAlignment="1">
      <alignment wrapText="1"/>
    </xf>
    <xf numFmtId="0" fontId="8" fillId="0" borderId="0" xfId="0" applyFont="1"/>
    <xf numFmtId="2" fontId="7" fillId="0" borderId="0" xfId="0" applyNumberFormat="1" applyFont="1" applyAlignment="1">
      <alignment wrapText="1"/>
    </xf>
    <xf numFmtId="2" fontId="8" fillId="0" borderId="0" xfId="0" applyNumberFormat="1" applyFont="1"/>
    <xf numFmtId="0" fontId="9" fillId="0" borderId="0" xfId="0" applyFont="1"/>
    <xf numFmtId="17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Relative</a:t>
            </a:r>
            <a:r>
              <a:rPr lang="en-US" sz="1600" b="1" baseline="0"/>
              <a:t> Share of Monopoly Profits</a:t>
            </a:r>
            <a:endParaRPr lang="en-US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2922461032697257E-2"/>
          <c:y val="1.4836627998485603E-2"/>
          <c:w val="0.91207631001012091"/>
          <c:h val="0.94914333624963543"/>
        </c:manualLayout>
      </c:layout>
      <c:lineChart>
        <c:grouping val="standard"/>
        <c:varyColors val="0"/>
        <c:ser>
          <c:idx val="1"/>
          <c:order val="0"/>
          <c:tx>
            <c:v>profit equation</c:v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Sheet2!$A$3:$A$48</c:f>
              <c:numCache>
                <c:formatCode>General</c:formatCode>
                <c:ptCount val="46"/>
                <c:pt idx="0">
                  <c:v>1894</c:v>
                </c:pt>
                <c:pt idx="1">
                  <c:v>1895</c:v>
                </c:pt>
                <c:pt idx="2">
                  <c:v>1896</c:v>
                </c:pt>
                <c:pt idx="3">
                  <c:v>1897</c:v>
                </c:pt>
                <c:pt idx="4">
                  <c:v>1898</c:v>
                </c:pt>
                <c:pt idx="5">
                  <c:v>1899</c:v>
                </c:pt>
                <c:pt idx="6">
                  <c:v>1900</c:v>
                </c:pt>
                <c:pt idx="7">
                  <c:v>1901</c:v>
                </c:pt>
                <c:pt idx="8">
                  <c:v>1902</c:v>
                </c:pt>
                <c:pt idx="9">
                  <c:v>1903</c:v>
                </c:pt>
                <c:pt idx="10">
                  <c:v>1904</c:v>
                </c:pt>
                <c:pt idx="11">
                  <c:v>1905</c:v>
                </c:pt>
                <c:pt idx="12">
                  <c:v>1906</c:v>
                </c:pt>
                <c:pt idx="13">
                  <c:v>1907</c:v>
                </c:pt>
                <c:pt idx="14">
                  <c:v>1908</c:v>
                </c:pt>
                <c:pt idx="15">
                  <c:v>1909</c:v>
                </c:pt>
                <c:pt idx="16">
                  <c:v>1910</c:v>
                </c:pt>
                <c:pt idx="17">
                  <c:v>1911</c:v>
                </c:pt>
                <c:pt idx="18">
                  <c:v>1912</c:v>
                </c:pt>
                <c:pt idx="19">
                  <c:v>1913</c:v>
                </c:pt>
                <c:pt idx="20">
                  <c:v>1914</c:v>
                </c:pt>
                <c:pt idx="21">
                  <c:v>1915</c:v>
                </c:pt>
                <c:pt idx="22">
                  <c:v>1916</c:v>
                </c:pt>
                <c:pt idx="23">
                  <c:v>1917</c:v>
                </c:pt>
                <c:pt idx="24">
                  <c:v>1918</c:v>
                </c:pt>
                <c:pt idx="25">
                  <c:v>1919</c:v>
                </c:pt>
                <c:pt idx="26">
                  <c:v>1920</c:v>
                </c:pt>
                <c:pt idx="27">
                  <c:v>1921</c:v>
                </c:pt>
                <c:pt idx="28">
                  <c:v>1922</c:v>
                </c:pt>
                <c:pt idx="29">
                  <c:v>1923</c:v>
                </c:pt>
                <c:pt idx="30">
                  <c:v>1924</c:v>
                </c:pt>
                <c:pt idx="31">
                  <c:v>1925</c:v>
                </c:pt>
                <c:pt idx="32">
                  <c:v>1926</c:v>
                </c:pt>
                <c:pt idx="33">
                  <c:v>1927</c:v>
                </c:pt>
                <c:pt idx="34">
                  <c:v>1928</c:v>
                </c:pt>
                <c:pt idx="35">
                  <c:v>1929</c:v>
                </c:pt>
                <c:pt idx="36">
                  <c:v>1930</c:v>
                </c:pt>
                <c:pt idx="37">
                  <c:v>1931</c:v>
                </c:pt>
                <c:pt idx="38">
                  <c:v>1932</c:v>
                </c:pt>
                <c:pt idx="39">
                  <c:v>1933</c:v>
                </c:pt>
                <c:pt idx="40">
                  <c:v>1934</c:v>
                </c:pt>
                <c:pt idx="41">
                  <c:v>1935</c:v>
                </c:pt>
                <c:pt idx="42">
                  <c:v>1936</c:v>
                </c:pt>
                <c:pt idx="43">
                  <c:v>1937</c:v>
                </c:pt>
                <c:pt idx="44">
                  <c:v>1938</c:v>
                </c:pt>
                <c:pt idx="45">
                  <c:v>1939</c:v>
                </c:pt>
              </c:numCache>
            </c:numRef>
          </c:cat>
          <c:val>
            <c:numRef>
              <c:f>Sheet2!$W$3:$W$48</c:f>
              <c:numCache>
                <c:formatCode>0.000</c:formatCode>
                <c:ptCount val="46"/>
                <c:pt idx="0">
                  <c:v>-0.52766326662362806</c:v>
                </c:pt>
                <c:pt idx="1">
                  <c:v>-0.40242005469462161</c:v>
                </c:pt>
                <c:pt idx="2">
                  <c:v>-0.28250604898598464</c:v>
                </c:pt>
                <c:pt idx="3">
                  <c:v>-7.4061778682960044E-2</c:v>
                </c:pt>
                <c:pt idx="4">
                  <c:v>0.14492132021765786</c:v>
                </c:pt>
                <c:pt idx="5">
                  <c:v>0.17061891104481783</c:v>
                </c:pt>
                <c:pt idx="6">
                  <c:v>0.208921345268131</c:v>
                </c:pt>
                <c:pt idx="7">
                  <c:v>0.31729312875017152</c:v>
                </c:pt>
                <c:pt idx="8">
                  <c:v>0.31344014615692828</c:v>
                </c:pt>
                <c:pt idx="9">
                  <c:v>0.26046591943884334</c:v>
                </c:pt>
                <c:pt idx="10">
                  <c:v>0.19484950337517537</c:v>
                </c:pt>
                <c:pt idx="11">
                  <c:v>0.17319755476094753</c:v>
                </c:pt>
                <c:pt idx="12">
                  <c:v>0.14272050671027092</c:v>
                </c:pt>
                <c:pt idx="13">
                  <c:v>5.649802473449906E-2</c:v>
                </c:pt>
                <c:pt idx="14">
                  <c:v>-0.13470595665638166</c:v>
                </c:pt>
                <c:pt idx="15">
                  <c:v>-9.0104643593095345E-3</c:v>
                </c:pt>
                <c:pt idx="16">
                  <c:v>7.9845561371447007E-2</c:v>
                </c:pt>
                <c:pt idx="17">
                  <c:v>1.5840962671862014E-2</c:v>
                </c:pt>
                <c:pt idx="18">
                  <c:v>-6.1397788451771497E-2</c:v>
                </c:pt>
                <c:pt idx="19">
                  <c:v>8.7966851936201712E-2</c:v>
                </c:pt>
                <c:pt idx="20">
                  <c:v>4.3088184432214419E-2</c:v>
                </c:pt>
                <c:pt idx="21">
                  <c:v>1.8985836806549857E-2</c:v>
                </c:pt>
                <c:pt idx="22">
                  <c:v>8.9716699326187851E-2</c:v>
                </c:pt>
                <c:pt idx="23">
                  <c:v>0.16784362588279206</c:v>
                </c:pt>
                <c:pt idx="24">
                  <c:v>8.1724942617020346E-2</c:v>
                </c:pt>
                <c:pt idx="25">
                  <c:v>0.10882466837989409</c:v>
                </c:pt>
                <c:pt idx="26">
                  <c:v>8.5916620028641019E-2</c:v>
                </c:pt>
                <c:pt idx="27">
                  <c:v>5.6303283204932948E-2</c:v>
                </c:pt>
                <c:pt idx="28">
                  <c:v>4.7904325343612005E-2</c:v>
                </c:pt>
                <c:pt idx="29">
                  <c:v>6.5630976042430914E-2</c:v>
                </c:pt>
                <c:pt idx="30">
                  <c:v>0.11167133756704424</c:v>
                </c:pt>
                <c:pt idx="31">
                  <c:v>6.3499399834368961E-2</c:v>
                </c:pt>
                <c:pt idx="32">
                  <c:v>9.5385045289272996E-2</c:v>
                </c:pt>
                <c:pt idx="33">
                  <c:v>9.8018233274389882E-2</c:v>
                </c:pt>
                <c:pt idx="34">
                  <c:v>8.6641627503682775E-2</c:v>
                </c:pt>
                <c:pt idx="35">
                  <c:v>0.14891924380555305</c:v>
                </c:pt>
                <c:pt idx="36">
                  <c:v>0.10950546808860463</c:v>
                </c:pt>
                <c:pt idx="37">
                  <c:v>6.3058979004839269E-2</c:v>
                </c:pt>
                <c:pt idx="38">
                  <c:v>-0.13229227873893118</c:v>
                </c:pt>
                <c:pt idx="39">
                  <c:v>-0.10530863273414197</c:v>
                </c:pt>
                <c:pt idx="40">
                  <c:v>-4.2368865215661605E-2</c:v>
                </c:pt>
                <c:pt idx="41">
                  <c:v>0.12407267534424954</c:v>
                </c:pt>
                <c:pt idx="42">
                  <c:v>0.21519736543990597</c:v>
                </c:pt>
                <c:pt idx="43">
                  <c:v>0.23946492709503692</c:v>
                </c:pt>
                <c:pt idx="44">
                  <c:v>0.13226223232545173</c:v>
                </c:pt>
                <c:pt idx="45">
                  <c:v>0.2441966591248981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71-413E-91B8-DA88E90A6DE5}"/>
            </c:ext>
          </c:extLst>
        </c:ser>
        <c:ser>
          <c:idx val="0"/>
          <c:order val="1"/>
          <c:tx>
            <c:v>Wage Equation</c:v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Sheet2!$A$3:$A$48</c:f>
              <c:numCache>
                <c:formatCode>General</c:formatCode>
                <c:ptCount val="46"/>
                <c:pt idx="0">
                  <c:v>1894</c:v>
                </c:pt>
                <c:pt idx="1">
                  <c:v>1895</c:v>
                </c:pt>
                <c:pt idx="2">
                  <c:v>1896</c:v>
                </c:pt>
                <c:pt idx="3">
                  <c:v>1897</c:v>
                </c:pt>
                <c:pt idx="4">
                  <c:v>1898</c:v>
                </c:pt>
                <c:pt idx="5">
                  <c:v>1899</c:v>
                </c:pt>
                <c:pt idx="6">
                  <c:v>1900</c:v>
                </c:pt>
                <c:pt idx="7">
                  <c:v>1901</c:v>
                </c:pt>
                <c:pt idx="8">
                  <c:v>1902</c:v>
                </c:pt>
                <c:pt idx="9">
                  <c:v>1903</c:v>
                </c:pt>
                <c:pt idx="10">
                  <c:v>1904</c:v>
                </c:pt>
                <c:pt idx="11">
                  <c:v>1905</c:v>
                </c:pt>
                <c:pt idx="12">
                  <c:v>1906</c:v>
                </c:pt>
                <c:pt idx="13">
                  <c:v>1907</c:v>
                </c:pt>
                <c:pt idx="14">
                  <c:v>1908</c:v>
                </c:pt>
                <c:pt idx="15">
                  <c:v>1909</c:v>
                </c:pt>
                <c:pt idx="16">
                  <c:v>1910</c:v>
                </c:pt>
                <c:pt idx="17">
                  <c:v>1911</c:v>
                </c:pt>
                <c:pt idx="18">
                  <c:v>1912</c:v>
                </c:pt>
                <c:pt idx="19">
                  <c:v>1913</c:v>
                </c:pt>
                <c:pt idx="20">
                  <c:v>1914</c:v>
                </c:pt>
                <c:pt idx="21">
                  <c:v>1915</c:v>
                </c:pt>
                <c:pt idx="22">
                  <c:v>1916</c:v>
                </c:pt>
                <c:pt idx="23">
                  <c:v>1917</c:v>
                </c:pt>
                <c:pt idx="24">
                  <c:v>1918</c:v>
                </c:pt>
                <c:pt idx="25">
                  <c:v>1919</c:v>
                </c:pt>
                <c:pt idx="26">
                  <c:v>1920</c:v>
                </c:pt>
                <c:pt idx="27">
                  <c:v>1921</c:v>
                </c:pt>
                <c:pt idx="28">
                  <c:v>1922</c:v>
                </c:pt>
                <c:pt idx="29">
                  <c:v>1923</c:v>
                </c:pt>
                <c:pt idx="30">
                  <c:v>1924</c:v>
                </c:pt>
                <c:pt idx="31">
                  <c:v>1925</c:v>
                </c:pt>
                <c:pt idx="32">
                  <c:v>1926</c:v>
                </c:pt>
                <c:pt idx="33">
                  <c:v>1927</c:v>
                </c:pt>
                <c:pt idx="34">
                  <c:v>1928</c:v>
                </c:pt>
                <c:pt idx="35">
                  <c:v>1929</c:v>
                </c:pt>
                <c:pt idx="36">
                  <c:v>1930</c:v>
                </c:pt>
                <c:pt idx="37">
                  <c:v>1931</c:v>
                </c:pt>
                <c:pt idx="38">
                  <c:v>1932</c:v>
                </c:pt>
                <c:pt idx="39">
                  <c:v>1933</c:v>
                </c:pt>
                <c:pt idx="40">
                  <c:v>1934</c:v>
                </c:pt>
                <c:pt idx="41">
                  <c:v>1935</c:v>
                </c:pt>
                <c:pt idx="42">
                  <c:v>1936</c:v>
                </c:pt>
                <c:pt idx="43">
                  <c:v>1937</c:v>
                </c:pt>
                <c:pt idx="44">
                  <c:v>1938</c:v>
                </c:pt>
                <c:pt idx="45">
                  <c:v>1939</c:v>
                </c:pt>
              </c:numCache>
            </c:numRef>
          </c:cat>
          <c:val>
            <c:numRef>
              <c:f>Sheet2!$X$3:$X$48</c:f>
              <c:numCache>
                <c:formatCode>0.000</c:formatCode>
                <c:ptCount val="46"/>
                <c:pt idx="0">
                  <c:v>-0.1888563341113374</c:v>
                </c:pt>
                <c:pt idx="1">
                  <c:v>-0.11335109739849925</c:v>
                </c:pt>
                <c:pt idx="2">
                  <c:v>-7.6063090591458771E-2</c:v>
                </c:pt>
                <c:pt idx="3">
                  <c:v>6.0226942100669034E-2</c:v>
                </c:pt>
                <c:pt idx="4">
                  <c:v>0.15066113309526108</c:v>
                </c:pt>
                <c:pt idx="5">
                  <c:v>0.16744165448828663</c:v>
                </c:pt>
                <c:pt idx="6">
                  <c:v>0.29011041502085211</c:v>
                </c:pt>
                <c:pt idx="7">
                  <c:v>0.25745811395329699</c:v>
                </c:pt>
                <c:pt idx="8">
                  <c:v>0.23405772697557403</c:v>
                </c:pt>
                <c:pt idx="9">
                  <c:v>0.20929561445946754</c:v>
                </c:pt>
                <c:pt idx="10">
                  <c:v>0.13204418651549432</c:v>
                </c:pt>
                <c:pt idx="11">
                  <c:v>6.4737843183316546E-2</c:v>
                </c:pt>
                <c:pt idx="12">
                  <c:v>4.2366225567920912E-2</c:v>
                </c:pt>
                <c:pt idx="13">
                  <c:v>0.12990022225374764</c:v>
                </c:pt>
                <c:pt idx="14">
                  <c:v>-0.13936008171862202</c:v>
                </c:pt>
                <c:pt idx="15">
                  <c:v>-0.10038822823411264</c:v>
                </c:pt>
                <c:pt idx="16">
                  <c:v>5.2834743942111517E-2</c:v>
                </c:pt>
                <c:pt idx="17">
                  <c:v>-7.8909182511445186E-2</c:v>
                </c:pt>
                <c:pt idx="18">
                  <c:v>-0.15379868023357024</c:v>
                </c:pt>
                <c:pt idx="19">
                  <c:v>-8.0038572806171659E-2</c:v>
                </c:pt>
                <c:pt idx="20">
                  <c:v>-4.8319844823975888E-2</c:v>
                </c:pt>
                <c:pt idx="21">
                  <c:v>-7.3325267447784004E-2</c:v>
                </c:pt>
                <c:pt idx="22">
                  <c:v>9.8734086522745734E-2</c:v>
                </c:pt>
                <c:pt idx="23">
                  <c:v>0.19489903295207223</c:v>
                </c:pt>
                <c:pt idx="24">
                  <c:v>0.13812316002043745</c:v>
                </c:pt>
                <c:pt idx="25">
                  <c:v>5.7930270849361087E-2</c:v>
                </c:pt>
                <c:pt idx="26">
                  <c:v>7.0073735057151421E-2</c:v>
                </c:pt>
                <c:pt idx="27">
                  <c:v>8.9529157193105835E-2</c:v>
                </c:pt>
                <c:pt idx="28">
                  <c:v>8.6520034316535654E-2</c:v>
                </c:pt>
                <c:pt idx="29">
                  <c:v>5.4009875463514767E-2</c:v>
                </c:pt>
                <c:pt idx="30">
                  <c:v>0.10972267982192063</c:v>
                </c:pt>
                <c:pt idx="31">
                  <c:v>9.9130834752025776E-2</c:v>
                </c:pt>
                <c:pt idx="32">
                  <c:v>0.11581839854115483</c:v>
                </c:pt>
                <c:pt idx="33">
                  <c:v>8.6969831163288824E-2</c:v>
                </c:pt>
                <c:pt idx="34">
                  <c:v>7.7554846251276177E-2</c:v>
                </c:pt>
                <c:pt idx="35">
                  <c:v>6.7931697489634346E-2</c:v>
                </c:pt>
                <c:pt idx="36">
                  <c:v>6.9631703463575612E-2</c:v>
                </c:pt>
                <c:pt idx="37">
                  <c:v>5.8657275201836612E-2</c:v>
                </c:pt>
                <c:pt idx="38">
                  <c:v>-9.3148889626301967E-2</c:v>
                </c:pt>
                <c:pt idx="39">
                  <c:v>-7.6556585242690822E-3</c:v>
                </c:pt>
                <c:pt idx="40">
                  <c:v>-6.5466742511366416E-3</c:v>
                </c:pt>
                <c:pt idx="41">
                  <c:v>8.805142521879572E-2</c:v>
                </c:pt>
                <c:pt idx="42">
                  <c:v>0.14749392240194092</c:v>
                </c:pt>
                <c:pt idx="43">
                  <c:v>0.16123315935293669</c:v>
                </c:pt>
                <c:pt idx="44">
                  <c:v>0.1183226721624937</c:v>
                </c:pt>
                <c:pt idx="45">
                  <c:v>0.17563731465295085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C71-413E-91B8-DA88E90A6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4127064"/>
        <c:axId val="494126736"/>
      </c:lineChart>
      <c:catAx>
        <c:axId val="494127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solidFill>
            <a:schemeClr val="bg1"/>
          </a:solidFill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26736"/>
        <c:crosses val="autoZero"/>
        <c:auto val="1"/>
        <c:lblAlgn val="ctr"/>
        <c:lblOffset val="100"/>
        <c:noMultiLvlLbl val="0"/>
      </c:catAx>
      <c:valAx>
        <c:axId val="494126736"/>
        <c:scaling>
          <c:orientation val="minMax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27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4813543224679333"/>
          <c:y val="7.0114771156564018E-2"/>
          <c:w val="0.28033133907712088"/>
          <c:h val="0.14017487459038033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Figure 3.3  Two Year Moving Average Speed</a:t>
            </a:r>
            <a:r>
              <a:rPr lang="en-US" sz="1600" b="1" baseline="0"/>
              <a:t> of Diffusion</a:t>
            </a:r>
            <a:endParaRPr lang="en-US" sz="1600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4.4217481056626172E-2"/>
          <c:y val="1.0833372159840966E-2"/>
          <c:w val="0.91207631001012091"/>
          <c:h val="0.94914333624963543"/>
        </c:manualLayout>
      </c:layout>
      <c:lineChart>
        <c:grouping val="standard"/>
        <c:varyColors val="0"/>
        <c:ser>
          <c:idx val="1"/>
          <c:order val="0"/>
          <c:tx>
            <c:strRef>
              <c:f>Sheet2!$AK$1</c:f>
              <c:strCache>
                <c:ptCount val="1"/>
                <c:pt idx="0">
                  <c:v>Two Year Moving Average Speed of Diffusion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Sheet2!$Z$4:$Z$38</c:f>
              <c:numCache>
                <c:formatCode>General</c:formatCode>
                <c:ptCount val="35"/>
                <c:pt idx="0">
                  <c:v>1895</c:v>
                </c:pt>
                <c:pt idx="1">
                  <c:v>1896</c:v>
                </c:pt>
                <c:pt idx="2">
                  <c:v>1897</c:v>
                </c:pt>
                <c:pt idx="3">
                  <c:v>1898</c:v>
                </c:pt>
                <c:pt idx="4">
                  <c:v>1899</c:v>
                </c:pt>
                <c:pt idx="5">
                  <c:v>1900</c:v>
                </c:pt>
                <c:pt idx="6">
                  <c:v>1901</c:v>
                </c:pt>
                <c:pt idx="7">
                  <c:v>1902</c:v>
                </c:pt>
                <c:pt idx="8">
                  <c:v>1903</c:v>
                </c:pt>
                <c:pt idx="9">
                  <c:v>1904</c:v>
                </c:pt>
                <c:pt idx="10">
                  <c:v>1905</c:v>
                </c:pt>
                <c:pt idx="11">
                  <c:v>1906</c:v>
                </c:pt>
                <c:pt idx="12">
                  <c:v>1907</c:v>
                </c:pt>
                <c:pt idx="13">
                  <c:v>1908</c:v>
                </c:pt>
                <c:pt idx="14">
                  <c:v>1909</c:v>
                </c:pt>
                <c:pt idx="15">
                  <c:v>1910</c:v>
                </c:pt>
                <c:pt idx="16">
                  <c:v>1911</c:v>
                </c:pt>
                <c:pt idx="17">
                  <c:v>1912</c:v>
                </c:pt>
                <c:pt idx="18">
                  <c:v>1913</c:v>
                </c:pt>
                <c:pt idx="19">
                  <c:v>1914</c:v>
                </c:pt>
                <c:pt idx="20">
                  <c:v>1915</c:v>
                </c:pt>
                <c:pt idx="21">
                  <c:v>1916</c:v>
                </c:pt>
                <c:pt idx="22">
                  <c:v>1917</c:v>
                </c:pt>
                <c:pt idx="23">
                  <c:v>1918</c:v>
                </c:pt>
                <c:pt idx="24">
                  <c:v>1919</c:v>
                </c:pt>
                <c:pt idx="25">
                  <c:v>1920</c:v>
                </c:pt>
                <c:pt idx="26">
                  <c:v>1921</c:v>
                </c:pt>
                <c:pt idx="27">
                  <c:v>1922</c:v>
                </c:pt>
                <c:pt idx="28">
                  <c:v>1923</c:v>
                </c:pt>
                <c:pt idx="29">
                  <c:v>1924</c:v>
                </c:pt>
                <c:pt idx="30">
                  <c:v>1925</c:v>
                </c:pt>
                <c:pt idx="31">
                  <c:v>1926</c:v>
                </c:pt>
                <c:pt idx="32">
                  <c:v>1927</c:v>
                </c:pt>
                <c:pt idx="33">
                  <c:v>1928</c:v>
                </c:pt>
                <c:pt idx="34">
                  <c:v>1929</c:v>
                </c:pt>
              </c:numCache>
            </c:numRef>
          </c:cat>
          <c:val>
            <c:numRef>
              <c:f>Sheet2!$AK$4:$AK$38</c:f>
              <c:numCache>
                <c:formatCode>0.00</c:formatCode>
                <c:ptCount val="3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0.73774368289251602</c:v>
                </c:pt>
                <c:pt idx="4">
                  <c:v>0.46510047726104081</c:v>
                </c:pt>
                <c:pt idx="5">
                  <c:v>0.4105106491925154</c:v>
                </c:pt>
                <c:pt idx="6">
                  <c:v>0.37517901372271145</c:v>
                </c:pt>
                <c:pt idx="7">
                  <c:v>0.39126589115897165</c:v>
                </c:pt>
                <c:pt idx="8">
                  <c:v>0.4072696534969823</c:v>
                </c:pt>
                <c:pt idx="9">
                  <c:v>0.46032056347419514</c:v>
                </c:pt>
                <c:pt idx="10">
                  <c:v>0.64501043971830785</c:v>
                </c:pt>
                <c:pt idx="11">
                  <c:v>0.89271879748084426</c:v>
                </c:pt>
                <c:pt idx="12">
                  <c:v>0.75424243936539492</c:v>
                </c:pt>
                <c:pt idx="13">
                  <c:v>0.75424243936539492</c:v>
                </c:pt>
                <c:pt idx="14">
                  <c:v>1</c:v>
                </c:pt>
                <c:pt idx="15">
                  <c:v>0.97250427669386452</c:v>
                </c:pt>
                <c:pt idx="16">
                  <c:v>0.57219505929545045</c:v>
                </c:pt>
                <c:pt idx="17">
                  <c:v>0.59969078260158581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0.79331283215324611</c:v>
                </c:pt>
                <c:pt idx="22">
                  <c:v>0.50720666198150099</c:v>
                </c:pt>
                <c:pt idx="23">
                  <c:v>0.46099682071189146</c:v>
                </c:pt>
                <c:pt idx="24">
                  <c:v>0.67974256511168041</c:v>
                </c:pt>
                <c:pt idx="25">
                  <c:v>0.80128438654284628</c:v>
                </c:pt>
                <c:pt idx="26">
                  <c:v>0.67967848926549546</c:v>
                </c:pt>
                <c:pt idx="27">
                  <c:v>0.62886715717614805</c:v>
                </c:pt>
                <c:pt idx="28">
                  <c:v>0.78016942351884988</c:v>
                </c:pt>
                <c:pt idx="29">
                  <c:v>0.73901351364810619</c:v>
                </c:pt>
                <c:pt idx="30">
                  <c:v>0.56931450589349619</c:v>
                </c:pt>
                <c:pt idx="31">
                  <c:v>0.56162749129593914</c:v>
                </c:pt>
                <c:pt idx="32">
                  <c:v>0.58577062772554456</c:v>
                </c:pt>
                <c:pt idx="33">
                  <c:v>0.65887296160465669</c:v>
                </c:pt>
                <c:pt idx="34">
                  <c:v>0.71979004871834362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A16-4457-B360-4E720E851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4127064"/>
        <c:axId val="494126736"/>
      </c:lineChart>
      <c:catAx>
        <c:axId val="494127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solidFill>
            <a:schemeClr val="bg1"/>
          </a:solidFill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26736"/>
        <c:crosses val="autoZero"/>
        <c:auto val="1"/>
        <c:lblAlgn val="ctr"/>
        <c:lblOffset val="100"/>
        <c:noMultiLvlLbl val="0"/>
      </c:catAx>
      <c:valAx>
        <c:axId val="49412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2706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Labor Share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Sheet2!$U$3:$U$48</c:f>
              <c:numCache>
                <c:formatCode>General</c:formatCode>
                <c:ptCount val="46"/>
                <c:pt idx="0">
                  <c:v>1894</c:v>
                </c:pt>
                <c:pt idx="1">
                  <c:v>1895</c:v>
                </c:pt>
                <c:pt idx="2">
                  <c:v>1896</c:v>
                </c:pt>
                <c:pt idx="3">
                  <c:v>1897</c:v>
                </c:pt>
                <c:pt idx="4">
                  <c:v>1898</c:v>
                </c:pt>
                <c:pt idx="5">
                  <c:v>1899</c:v>
                </c:pt>
                <c:pt idx="6">
                  <c:v>1900</c:v>
                </c:pt>
                <c:pt idx="7">
                  <c:v>1901</c:v>
                </c:pt>
                <c:pt idx="8">
                  <c:v>1902</c:v>
                </c:pt>
                <c:pt idx="9">
                  <c:v>1903</c:v>
                </c:pt>
                <c:pt idx="10">
                  <c:v>1904</c:v>
                </c:pt>
                <c:pt idx="11">
                  <c:v>1905</c:v>
                </c:pt>
                <c:pt idx="12">
                  <c:v>1906</c:v>
                </c:pt>
                <c:pt idx="13">
                  <c:v>1907</c:v>
                </c:pt>
                <c:pt idx="14">
                  <c:v>1908</c:v>
                </c:pt>
                <c:pt idx="15">
                  <c:v>1909</c:v>
                </c:pt>
                <c:pt idx="16">
                  <c:v>1910</c:v>
                </c:pt>
                <c:pt idx="17">
                  <c:v>1911</c:v>
                </c:pt>
                <c:pt idx="18">
                  <c:v>1912</c:v>
                </c:pt>
                <c:pt idx="19">
                  <c:v>1913</c:v>
                </c:pt>
                <c:pt idx="20">
                  <c:v>1914</c:v>
                </c:pt>
                <c:pt idx="21">
                  <c:v>1915</c:v>
                </c:pt>
                <c:pt idx="22">
                  <c:v>1916</c:v>
                </c:pt>
                <c:pt idx="23">
                  <c:v>1917</c:v>
                </c:pt>
                <c:pt idx="24">
                  <c:v>1918</c:v>
                </c:pt>
                <c:pt idx="25">
                  <c:v>1919</c:v>
                </c:pt>
                <c:pt idx="26">
                  <c:v>1920</c:v>
                </c:pt>
                <c:pt idx="27">
                  <c:v>1921</c:v>
                </c:pt>
                <c:pt idx="28">
                  <c:v>1922</c:v>
                </c:pt>
                <c:pt idx="29">
                  <c:v>1923</c:v>
                </c:pt>
                <c:pt idx="30">
                  <c:v>1924</c:v>
                </c:pt>
                <c:pt idx="31">
                  <c:v>1925</c:v>
                </c:pt>
                <c:pt idx="32">
                  <c:v>1926</c:v>
                </c:pt>
                <c:pt idx="33">
                  <c:v>1927</c:v>
                </c:pt>
                <c:pt idx="34">
                  <c:v>1928</c:v>
                </c:pt>
                <c:pt idx="35">
                  <c:v>1929</c:v>
                </c:pt>
                <c:pt idx="36">
                  <c:v>1930</c:v>
                </c:pt>
                <c:pt idx="37">
                  <c:v>1931</c:v>
                </c:pt>
                <c:pt idx="38">
                  <c:v>1932</c:v>
                </c:pt>
                <c:pt idx="39">
                  <c:v>1933</c:v>
                </c:pt>
                <c:pt idx="40">
                  <c:v>1934</c:v>
                </c:pt>
                <c:pt idx="41">
                  <c:v>1935</c:v>
                </c:pt>
                <c:pt idx="42">
                  <c:v>1936</c:v>
                </c:pt>
                <c:pt idx="43">
                  <c:v>1937</c:v>
                </c:pt>
                <c:pt idx="44">
                  <c:v>1938</c:v>
                </c:pt>
                <c:pt idx="45">
                  <c:v>1939</c:v>
                </c:pt>
              </c:numCache>
            </c:numRef>
          </c:cat>
          <c:val>
            <c:numRef>
              <c:f>Sheet2!$Q$3:$Q$48</c:f>
              <c:numCache>
                <c:formatCode>0.000</c:formatCode>
                <c:ptCount val="46"/>
                <c:pt idx="0">
                  <c:v>0.77275661717236932</c:v>
                </c:pt>
                <c:pt idx="1">
                  <c:v>0.7236782133090246</c:v>
                </c:pt>
                <c:pt idx="2">
                  <c:v>0.69944100888444816</c:v>
                </c:pt>
                <c:pt idx="3">
                  <c:v>0.61085248763456512</c:v>
                </c:pt>
                <c:pt idx="4">
                  <c:v>0.5520702634880803</c:v>
                </c:pt>
                <c:pt idx="5">
                  <c:v>0.54116292458261372</c:v>
                </c:pt>
                <c:pt idx="6">
                  <c:v>0.46142823023644614</c:v>
                </c:pt>
                <c:pt idx="7">
                  <c:v>0.482652225930357</c:v>
                </c:pt>
                <c:pt idx="8">
                  <c:v>0.49786247746587692</c:v>
                </c:pt>
                <c:pt idx="9">
                  <c:v>0.51395785060134613</c:v>
                </c:pt>
                <c:pt idx="10">
                  <c:v>0.56417127876492867</c:v>
                </c:pt>
                <c:pt idx="11">
                  <c:v>0.60792040193084429</c:v>
                </c:pt>
                <c:pt idx="12">
                  <c:v>0.62246195338085142</c:v>
                </c:pt>
                <c:pt idx="13">
                  <c:v>0.56556485553506408</c:v>
                </c:pt>
                <c:pt idx="14">
                  <c:v>0.7405840531171044</c:v>
                </c:pt>
                <c:pt idx="15">
                  <c:v>0.71525234835217322</c:v>
                </c:pt>
                <c:pt idx="16">
                  <c:v>0.6156574164376275</c:v>
                </c:pt>
                <c:pt idx="17">
                  <c:v>0.70129096863243934</c:v>
                </c:pt>
                <c:pt idx="18">
                  <c:v>0.74996914215182064</c:v>
                </c:pt>
                <c:pt idx="19">
                  <c:v>0.70202507232401157</c:v>
                </c:pt>
                <c:pt idx="20">
                  <c:v>0.68140789913558431</c:v>
                </c:pt>
                <c:pt idx="21">
                  <c:v>0.69766142384105956</c:v>
                </c:pt>
                <c:pt idx="22">
                  <c:v>0.6759494351079407</c:v>
                </c:pt>
                <c:pt idx="23">
                  <c:v>0.6038257252859458</c:v>
                </c:pt>
                <c:pt idx="24">
                  <c:v>0.64640762998467194</c:v>
                </c:pt>
                <c:pt idx="25">
                  <c:v>0.70655229686297916</c:v>
                </c:pt>
                <c:pt idx="26">
                  <c:v>0.69744469870713643</c:v>
                </c:pt>
                <c:pt idx="27">
                  <c:v>0.68285313210517062</c:v>
                </c:pt>
                <c:pt idx="28">
                  <c:v>0.68510997426259823</c:v>
                </c:pt>
                <c:pt idx="29">
                  <c:v>0.70949259340236392</c:v>
                </c:pt>
                <c:pt idx="30">
                  <c:v>0.66770799013355953</c:v>
                </c:pt>
                <c:pt idx="31">
                  <c:v>0.6756518739359807</c:v>
                </c:pt>
                <c:pt idx="32">
                  <c:v>0.66313620109413385</c:v>
                </c:pt>
                <c:pt idx="33">
                  <c:v>0.68477262662753335</c:v>
                </c:pt>
                <c:pt idx="34">
                  <c:v>0.69183386531154289</c:v>
                </c:pt>
                <c:pt idx="35">
                  <c:v>0.69905122688277421</c:v>
                </c:pt>
                <c:pt idx="36">
                  <c:v>0.69777622240231829</c:v>
                </c:pt>
                <c:pt idx="37">
                  <c:v>0.70600704359862254</c:v>
                </c:pt>
                <c:pt idx="38">
                  <c:v>0.81986166721972642</c:v>
                </c:pt>
                <c:pt idx="39">
                  <c:v>0.75574174389320181</c:v>
                </c:pt>
                <c:pt idx="40">
                  <c:v>0.75491000568835243</c:v>
                </c:pt>
                <c:pt idx="41">
                  <c:v>0.68396143108590324</c:v>
                </c:pt>
                <c:pt idx="42">
                  <c:v>0.63937955819854431</c:v>
                </c:pt>
                <c:pt idx="43">
                  <c:v>0.62907513048529751</c:v>
                </c:pt>
                <c:pt idx="44">
                  <c:v>0.66125799587812972</c:v>
                </c:pt>
                <c:pt idx="45">
                  <c:v>0.61827201401028686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B0-494F-BE5A-7F7DDA2EB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171512"/>
        <c:axId val="452178072"/>
      </c:lineChart>
      <c:catAx>
        <c:axId val="452171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178072"/>
        <c:crosses val="autoZero"/>
        <c:auto val="1"/>
        <c:lblAlgn val="ctr"/>
        <c:lblOffset val="100"/>
        <c:noMultiLvlLbl val="0"/>
      </c:catAx>
      <c:valAx>
        <c:axId val="452178072"/>
        <c:scaling>
          <c:orientation val="minMax"/>
          <c:max val="0.8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171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5.4: GE's Profit Share 1894-1939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334631404770059E-2"/>
          <c:y val="0.11207803851251269"/>
          <c:w val="0.92427537554714467"/>
          <c:h val="0.85455231448341684"/>
        </c:manualLayout>
      </c:layout>
      <c:lineChart>
        <c:grouping val="standard"/>
        <c:varyColors val="0"/>
        <c:ser>
          <c:idx val="1"/>
          <c:order val="0"/>
          <c:tx>
            <c:v>Share of profits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Sheet4!$Q$6:$Q$51</c:f>
              <c:numCache>
                <c:formatCode>General</c:formatCode>
                <c:ptCount val="46"/>
                <c:pt idx="0">
                  <c:v>1894</c:v>
                </c:pt>
                <c:pt idx="1">
                  <c:v>1895</c:v>
                </c:pt>
                <c:pt idx="2">
                  <c:v>1896</c:v>
                </c:pt>
                <c:pt idx="3">
                  <c:v>1897</c:v>
                </c:pt>
                <c:pt idx="4">
                  <c:v>1898</c:v>
                </c:pt>
                <c:pt idx="5">
                  <c:v>1899</c:v>
                </c:pt>
                <c:pt idx="6">
                  <c:v>1900</c:v>
                </c:pt>
                <c:pt idx="7">
                  <c:v>1901</c:v>
                </c:pt>
                <c:pt idx="8">
                  <c:v>1902</c:v>
                </c:pt>
                <c:pt idx="9">
                  <c:v>1903</c:v>
                </c:pt>
                <c:pt idx="10">
                  <c:v>1904</c:v>
                </c:pt>
                <c:pt idx="11">
                  <c:v>1905</c:v>
                </c:pt>
                <c:pt idx="12">
                  <c:v>1906</c:v>
                </c:pt>
                <c:pt idx="13">
                  <c:v>1907</c:v>
                </c:pt>
                <c:pt idx="14">
                  <c:v>1908</c:v>
                </c:pt>
                <c:pt idx="15">
                  <c:v>1909</c:v>
                </c:pt>
                <c:pt idx="16">
                  <c:v>1910</c:v>
                </c:pt>
                <c:pt idx="17">
                  <c:v>1911</c:v>
                </c:pt>
                <c:pt idx="18">
                  <c:v>1912</c:v>
                </c:pt>
                <c:pt idx="19">
                  <c:v>1913</c:v>
                </c:pt>
                <c:pt idx="20">
                  <c:v>1914</c:v>
                </c:pt>
                <c:pt idx="21">
                  <c:v>1915</c:v>
                </c:pt>
                <c:pt idx="22">
                  <c:v>1916</c:v>
                </c:pt>
                <c:pt idx="23">
                  <c:v>1917</c:v>
                </c:pt>
                <c:pt idx="24">
                  <c:v>1918</c:v>
                </c:pt>
                <c:pt idx="25">
                  <c:v>1919</c:v>
                </c:pt>
                <c:pt idx="26">
                  <c:v>1920</c:v>
                </c:pt>
                <c:pt idx="27">
                  <c:v>1921</c:v>
                </c:pt>
                <c:pt idx="28">
                  <c:v>1922</c:v>
                </c:pt>
                <c:pt idx="29">
                  <c:v>1923</c:v>
                </c:pt>
                <c:pt idx="30">
                  <c:v>1924</c:v>
                </c:pt>
                <c:pt idx="31">
                  <c:v>1925</c:v>
                </c:pt>
                <c:pt idx="32">
                  <c:v>1926</c:v>
                </c:pt>
                <c:pt idx="33">
                  <c:v>1927</c:v>
                </c:pt>
                <c:pt idx="34">
                  <c:v>1928</c:v>
                </c:pt>
                <c:pt idx="35">
                  <c:v>1929</c:v>
                </c:pt>
                <c:pt idx="36">
                  <c:v>1930</c:v>
                </c:pt>
                <c:pt idx="37">
                  <c:v>1931</c:v>
                </c:pt>
                <c:pt idx="38">
                  <c:v>1932</c:v>
                </c:pt>
                <c:pt idx="39">
                  <c:v>1933</c:v>
                </c:pt>
                <c:pt idx="40">
                  <c:v>1934</c:v>
                </c:pt>
                <c:pt idx="41">
                  <c:v>1935</c:v>
                </c:pt>
                <c:pt idx="42">
                  <c:v>1936</c:v>
                </c:pt>
                <c:pt idx="43">
                  <c:v>1937</c:v>
                </c:pt>
                <c:pt idx="44">
                  <c:v>1938</c:v>
                </c:pt>
                <c:pt idx="45">
                  <c:v>1939</c:v>
                </c:pt>
              </c:numCache>
            </c:numRef>
          </c:cat>
          <c:val>
            <c:numRef>
              <c:f>Sheet4!$S$6:$S$51</c:f>
              <c:numCache>
                <c:formatCode>General</c:formatCode>
                <c:ptCount val="46"/>
                <c:pt idx="0">
                  <c:v>-6.9785547123244029E-2</c:v>
                </c:pt>
                <c:pt idx="1">
                  <c:v>-5.6977100521857504E-2</c:v>
                </c:pt>
                <c:pt idx="2">
                  <c:v>2.0736622721472919E-2</c:v>
                </c:pt>
                <c:pt idx="3">
                  <c:v>0.16782533328225538</c:v>
                </c:pt>
                <c:pt idx="4">
                  <c:v>0.26876946430136761</c:v>
                </c:pt>
                <c:pt idx="5">
                  <c:v>0.29940431130116335</c:v>
                </c:pt>
                <c:pt idx="6">
                  <c:v>0.38125729512432249</c:v>
                </c:pt>
                <c:pt idx="7">
                  <c:v>0.42290601497595537</c:v>
                </c:pt>
                <c:pt idx="8">
                  <c:v>0.37912752567520785</c:v>
                </c:pt>
                <c:pt idx="9">
                  <c:v>0.33468657538932933</c:v>
                </c:pt>
                <c:pt idx="10">
                  <c:v>0.2857516163516578</c:v>
                </c:pt>
                <c:pt idx="11">
                  <c:v>0.26226235586566649</c:v>
                </c:pt>
                <c:pt idx="12">
                  <c:v>0.23008542818009939</c:v>
                </c:pt>
                <c:pt idx="13">
                  <c:v>0.18668558124092649</c:v>
                </c:pt>
                <c:pt idx="14">
                  <c:v>8.8779379049247376E-2</c:v>
                </c:pt>
                <c:pt idx="15">
                  <c:v>0.13968769064744874</c:v>
                </c:pt>
                <c:pt idx="16">
                  <c:v>0.19625659165784196</c:v>
                </c:pt>
                <c:pt idx="17">
                  <c:v>0.16276078947546646</c:v>
                </c:pt>
                <c:pt idx="18">
                  <c:v>0.12413356604643067</c:v>
                </c:pt>
                <c:pt idx="19">
                  <c:v>0.12996307689673464</c:v>
                </c:pt>
                <c:pt idx="20">
                  <c:v>0.14423741081673358</c:v>
                </c:pt>
                <c:pt idx="21">
                  <c:v>0.12308319485990082</c:v>
                </c:pt>
                <c:pt idx="22">
                  <c:v>0.17274055393175392</c:v>
                </c:pt>
                <c:pt idx="23">
                  <c:v>0.23461748648315786</c:v>
                </c:pt>
                <c:pt idx="24">
                  <c:v>0.18019608007665849</c:v>
                </c:pt>
                <c:pt idx="25">
                  <c:v>0.18949705445240811</c:v>
                </c:pt>
                <c:pt idx="26">
                  <c:v>0.18152139186301491</c:v>
                </c:pt>
                <c:pt idx="27">
                  <c:v>0.16449830836721097</c:v>
                </c:pt>
                <c:pt idx="28">
                  <c:v>0.1818908276674373</c:v>
                </c:pt>
                <c:pt idx="29">
                  <c:v>0.18907323494782544</c:v>
                </c:pt>
                <c:pt idx="30">
                  <c:v>0.2077895099758329</c:v>
                </c:pt>
                <c:pt idx="31">
                  <c:v>0.21969621219607233</c:v>
                </c:pt>
                <c:pt idx="32">
                  <c:v>0.23543956192449161</c:v>
                </c:pt>
                <c:pt idx="33">
                  <c:v>0.22356238216818131</c:v>
                </c:pt>
                <c:pt idx="34">
                  <c:v>0.22492202700629516</c:v>
                </c:pt>
                <c:pt idx="35">
                  <c:v>0.24997304965391628</c:v>
                </c:pt>
                <c:pt idx="36">
                  <c:v>0.21838471209656679</c:v>
                </c:pt>
                <c:pt idx="37">
                  <c:v>0.19890545944834348</c:v>
                </c:pt>
                <c:pt idx="38">
                  <c:v>1.8020600901403311E-2</c:v>
                </c:pt>
                <c:pt idx="39">
                  <c:v>0.10451327290440057</c:v>
                </c:pt>
                <c:pt idx="40">
                  <c:v>0.12928057012300115</c:v>
                </c:pt>
                <c:pt idx="41">
                  <c:v>0.22046918517362257</c:v>
                </c:pt>
                <c:pt idx="42">
                  <c:v>0.27863645771300749</c:v>
                </c:pt>
                <c:pt idx="43">
                  <c:v>0.30894814289357014</c:v>
                </c:pt>
                <c:pt idx="44">
                  <c:v>0.24118305679685376</c:v>
                </c:pt>
                <c:pt idx="45">
                  <c:v>0.29727313108608572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B4-43AD-949B-F842698F8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4110736"/>
        <c:axId val="474110080"/>
      </c:lineChart>
      <c:catAx>
        <c:axId val="47411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110080"/>
        <c:crosses val="autoZero"/>
        <c:auto val="1"/>
        <c:lblAlgn val="ctr"/>
        <c:lblOffset val="100"/>
        <c:noMultiLvlLbl val="0"/>
      </c:catAx>
      <c:valAx>
        <c:axId val="474110080"/>
        <c:scaling>
          <c:orientation val="minMax"/>
          <c:max val="0.5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11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Figure 5.2:</a:t>
            </a:r>
            <a:r>
              <a:rPr lang="en-US" b="1" baseline="0"/>
              <a:t> GE's </a:t>
            </a:r>
            <a:r>
              <a:rPr lang="en-US" b="1"/>
              <a:t>Labor Share 1894-1939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712908977980806E-2"/>
          <c:y val="0.12996296296296297"/>
          <c:w val="0.8932972691390676"/>
          <c:h val="0.74983989501312331"/>
        </c:manualLayout>
      </c:layout>
      <c:lineChart>
        <c:grouping val="standard"/>
        <c:varyColors val="0"/>
        <c:ser>
          <c:idx val="0"/>
          <c:order val="0"/>
          <c:tx>
            <c:v>Labor Share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Sheet4!$A$6:$A$51</c:f>
              <c:numCache>
                <c:formatCode>General</c:formatCode>
                <c:ptCount val="46"/>
                <c:pt idx="0">
                  <c:v>1894</c:v>
                </c:pt>
                <c:pt idx="1">
                  <c:v>1895</c:v>
                </c:pt>
                <c:pt idx="2">
                  <c:v>1896</c:v>
                </c:pt>
                <c:pt idx="3">
                  <c:v>1897</c:v>
                </c:pt>
                <c:pt idx="4">
                  <c:v>1898</c:v>
                </c:pt>
                <c:pt idx="5">
                  <c:v>1899</c:v>
                </c:pt>
                <c:pt idx="6">
                  <c:v>1900</c:v>
                </c:pt>
                <c:pt idx="7">
                  <c:v>1901</c:v>
                </c:pt>
                <c:pt idx="8">
                  <c:v>1902</c:v>
                </c:pt>
                <c:pt idx="9">
                  <c:v>1903</c:v>
                </c:pt>
                <c:pt idx="10">
                  <c:v>1904</c:v>
                </c:pt>
                <c:pt idx="11">
                  <c:v>1905</c:v>
                </c:pt>
                <c:pt idx="12">
                  <c:v>1906</c:v>
                </c:pt>
                <c:pt idx="13">
                  <c:v>1907</c:v>
                </c:pt>
                <c:pt idx="14">
                  <c:v>1908</c:v>
                </c:pt>
                <c:pt idx="15">
                  <c:v>1909</c:v>
                </c:pt>
                <c:pt idx="16">
                  <c:v>1910</c:v>
                </c:pt>
                <c:pt idx="17">
                  <c:v>1911</c:v>
                </c:pt>
                <c:pt idx="18">
                  <c:v>1912</c:v>
                </c:pt>
                <c:pt idx="19">
                  <c:v>1913</c:v>
                </c:pt>
                <c:pt idx="20">
                  <c:v>1914</c:v>
                </c:pt>
                <c:pt idx="21">
                  <c:v>1915</c:v>
                </c:pt>
                <c:pt idx="22">
                  <c:v>1916</c:v>
                </c:pt>
                <c:pt idx="23">
                  <c:v>1917</c:v>
                </c:pt>
                <c:pt idx="24">
                  <c:v>1918</c:v>
                </c:pt>
                <c:pt idx="25">
                  <c:v>1919</c:v>
                </c:pt>
                <c:pt idx="26">
                  <c:v>1920</c:v>
                </c:pt>
                <c:pt idx="27">
                  <c:v>1921</c:v>
                </c:pt>
                <c:pt idx="28">
                  <c:v>1922</c:v>
                </c:pt>
                <c:pt idx="29">
                  <c:v>1923</c:v>
                </c:pt>
                <c:pt idx="30">
                  <c:v>1924</c:v>
                </c:pt>
                <c:pt idx="31">
                  <c:v>1925</c:v>
                </c:pt>
                <c:pt idx="32">
                  <c:v>1926</c:v>
                </c:pt>
                <c:pt idx="33">
                  <c:v>1927</c:v>
                </c:pt>
                <c:pt idx="34">
                  <c:v>1928</c:v>
                </c:pt>
                <c:pt idx="35">
                  <c:v>1929</c:v>
                </c:pt>
                <c:pt idx="36">
                  <c:v>1930</c:v>
                </c:pt>
                <c:pt idx="37">
                  <c:v>1931</c:v>
                </c:pt>
                <c:pt idx="38">
                  <c:v>1932</c:v>
                </c:pt>
                <c:pt idx="39">
                  <c:v>1933</c:v>
                </c:pt>
                <c:pt idx="40">
                  <c:v>1934</c:v>
                </c:pt>
                <c:pt idx="41">
                  <c:v>1935</c:v>
                </c:pt>
                <c:pt idx="42">
                  <c:v>1936</c:v>
                </c:pt>
                <c:pt idx="43">
                  <c:v>1937</c:v>
                </c:pt>
                <c:pt idx="44">
                  <c:v>1938</c:v>
                </c:pt>
                <c:pt idx="45">
                  <c:v>1939</c:v>
                </c:pt>
              </c:numCache>
            </c:numRef>
          </c:cat>
          <c:val>
            <c:numRef>
              <c:f>Sheet4!$M$6:$M$51</c:f>
              <c:numCache>
                <c:formatCode>General</c:formatCode>
                <c:ptCount val="46"/>
                <c:pt idx="0">
                  <c:v>0.77275661717236932</c:v>
                </c:pt>
                <c:pt idx="1">
                  <c:v>0.7236782133090246</c:v>
                </c:pt>
                <c:pt idx="2">
                  <c:v>0.69944100888444816</c:v>
                </c:pt>
                <c:pt idx="3">
                  <c:v>0.61085248763456512</c:v>
                </c:pt>
                <c:pt idx="4">
                  <c:v>0.5520702634880803</c:v>
                </c:pt>
                <c:pt idx="5">
                  <c:v>0.54116292458261372</c:v>
                </c:pt>
                <c:pt idx="6">
                  <c:v>0.46142823023644614</c:v>
                </c:pt>
                <c:pt idx="7">
                  <c:v>0.482652225930357</c:v>
                </c:pt>
                <c:pt idx="8">
                  <c:v>0.49786247746587692</c:v>
                </c:pt>
                <c:pt idx="9">
                  <c:v>0.51395785060134613</c:v>
                </c:pt>
                <c:pt idx="10">
                  <c:v>0.56417127876492867</c:v>
                </c:pt>
                <c:pt idx="11">
                  <c:v>0.60792040193084429</c:v>
                </c:pt>
                <c:pt idx="12">
                  <c:v>0.62246195338085142</c:v>
                </c:pt>
                <c:pt idx="13">
                  <c:v>0.56556485553506408</c:v>
                </c:pt>
                <c:pt idx="14">
                  <c:v>0.7405840531171044</c:v>
                </c:pt>
                <c:pt idx="15">
                  <c:v>0.71525234835217322</c:v>
                </c:pt>
                <c:pt idx="16">
                  <c:v>0.6156574164376275</c:v>
                </c:pt>
                <c:pt idx="17">
                  <c:v>0.70129096863243934</c:v>
                </c:pt>
                <c:pt idx="18">
                  <c:v>0.74996914215182064</c:v>
                </c:pt>
                <c:pt idx="19">
                  <c:v>0.70202507232401157</c:v>
                </c:pt>
                <c:pt idx="20">
                  <c:v>0.68140789913558431</c:v>
                </c:pt>
                <c:pt idx="21">
                  <c:v>0.69766142384105956</c:v>
                </c:pt>
                <c:pt idx="22">
                  <c:v>0.6759494351079407</c:v>
                </c:pt>
                <c:pt idx="23">
                  <c:v>0.6038257252859458</c:v>
                </c:pt>
                <c:pt idx="24">
                  <c:v>0.64640762998467194</c:v>
                </c:pt>
                <c:pt idx="25">
                  <c:v>0.70655229686297916</c:v>
                </c:pt>
                <c:pt idx="26">
                  <c:v>0.69744469870713643</c:v>
                </c:pt>
                <c:pt idx="27">
                  <c:v>0.68285313210517062</c:v>
                </c:pt>
                <c:pt idx="28">
                  <c:v>0.68510997426259823</c:v>
                </c:pt>
                <c:pt idx="29">
                  <c:v>0.70949259340236392</c:v>
                </c:pt>
                <c:pt idx="30">
                  <c:v>0.66770799013355953</c:v>
                </c:pt>
                <c:pt idx="31">
                  <c:v>0.6756518739359807</c:v>
                </c:pt>
                <c:pt idx="32">
                  <c:v>0.66313620109413385</c:v>
                </c:pt>
                <c:pt idx="33">
                  <c:v>0.68477262662753335</c:v>
                </c:pt>
                <c:pt idx="34">
                  <c:v>0.69183386531154289</c:v>
                </c:pt>
                <c:pt idx="35">
                  <c:v>0.69905122688277421</c:v>
                </c:pt>
                <c:pt idx="36">
                  <c:v>0.69777622240231829</c:v>
                </c:pt>
                <c:pt idx="37">
                  <c:v>0.70600704359862254</c:v>
                </c:pt>
                <c:pt idx="38">
                  <c:v>0.81986166721972642</c:v>
                </c:pt>
                <c:pt idx="39">
                  <c:v>0.75574174389320181</c:v>
                </c:pt>
                <c:pt idx="40">
                  <c:v>0.75491000568835243</c:v>
                </c:pt>
                <c:pt idx="41">
                  <c:v>0.68396143108590324</c:v>
                </c:pt>
                <c:pt idx="42">
                  <c:v>0.63937955819854431</c:v>
                </c:pt>
                <c:pt idx="43">
                  <c:v>0.62907513048529751</c:v>
                </c:pt>
                <c:pt idx="44">
                  <c:v>0.66125799587812972</c:v>
                </c:pt>
                <c:pt idx="45">
                  <c:v>0.61827201401028686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AA-4733-8439-861B6DEF3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6717336"/>
        <c:axId val="486719960"/>
      </c:lineChart>
      <c:catAx>
        <c:axId val="486717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19960"/>
        <c:crosses val="autoZero"/>
        <c:auto val="1"/>
        <c:lblAlgn val="ctr"/>
        <c:lblOffset val="100"/>
        <c:noMultiLvlLbl val="0"/>
      </c:catAx>
      <c:valAx>
        <c:axId val="486719960"/>
        <c:scaling>
          <c:orientation val="minMax"/>
          <c:max val="0.85000000000000009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17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Figure 5.3: GE's Capital Share 1894-1939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7394712915787483E-2"/>
          <c:y val="0.13322557471264368"/>
          <c:w val="0.91204016668412213"/>
          <c:h val="0.74867663363200287"/>
        </c:manualLayout>
      </c:layout>
      <c:lineChart>
        <c:grouping val="standard"/>
        <c:varyColors val="0"/>
        <c:ser>
          <c:idx val="1"/>
          <c:order val="0"/>
          <c:tx>
            <c:v>Capital Share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Sheet4!$Q$6:$Q$51</c:f>
              <c:numCache>
                <c:formatCode>General</c:formatCode>
                <c:ptCount val="46"/>
                <c:pt idx="0">
                  <c:v>1894</c:v>
                </c:pt>
                <c:pt idx="1">
                  <c:v>1895</c:v>
                </c:pt>
                <c:pt idx="2">
                  <c:v>1896</c:v>
                </c:pt>
                <c:pt idx="3">
                  <c:v>1897</c:v>
                </c:pt>
                <c:pt idx="4">
                  <c:v>1898</c:v>
                </c:pt>
                <c:pt idx="5">
                  <c:v>1899</c:v>
                </c:pt>
                <c:pt idx="6">
                  <c:v>1900</c:v>
                </c:pt>
                <c:pt idx="7">
                  <c:v>1901</c:v>
                </c:pt>
                <c:pt idx="8">
                  <c:v>1902</c:v>
                </c:pt>
                <c:pt idx="9">
                  <c:v>1903</c:v>
                </c:pt>
                <c:pt idx="10">
                  <c:v>1904</c:v>
                </c:pt>
                <c:pt idx="11">
                  <c:v>1905</c:v>
                </c:pt>
                <c:pt idx="12">
                  <c:v>1906</c:v>
                </c:pt>
                <c:pt idx="13">
                  <c:v>1907</c:v>
                </c:pt>
                <c:pt idx="14">
                  <c:v>1908</c:v>
                </c:pt>
                <c:pt idx="15">
                  <c:v>1909</c:v>
                </c:pt>
                <c:pt idx="16">
                  <c:v>1910</c:v>
                </c:pt>
                <c:pt idx="17">
                  <c:v>1911</c:v>
                </c:pt>
                <c:pt idx="18">
                  <c:v>1912</c:v>
                </c:pt>
                <c:pt idx="19">
                  <c:v>1913</c:v>
                </c:pt>
                <c:pt idx="20">
                  <c:v>1914</c:v>
                </c:pt>
                <c:pt idx="21">
                  <c:v>1915</c:v>
                </c:pt>
                <c:pt idx="22">
                  <c:v>1916</c:v>
                </c:pt>
                <c:pt idx="23">
                  <c:v>1917</c:v>
                </c:pt>
                <c:pt idx="24">
                  <c:v>1918</c:v>
                </c:pt>
                <c:pt idx="25">
                  <c:v>1919</c:v>
                </c:pt>
                <c:pt idx="26">
                  <c:v>1920</c:v>
                </c:pt>
                <c:pt idx="27">
                  <c:v>1921</c:v>
                </c:pt>
                <c:pt idx="28">
                  <c:v>1922</c:v>
                </c:pt>
                <c:pt idx="29">
                  <c:v>1923</c:v>
                </c:pt>
                <c:pt idx="30">
                  <c:v>1924</c:v>
                </c:pt>
                <c:pt idx="31">
                  <c:v>1925</c:v>
                </c:pt>
                <c:pt idx="32">
                  <c:v>1926</c:v>
                </c:pt>
                <c:pt idx="33">
                  <c:v>1927</c:v>
                </c:pt>
                <c:pt idx="34">
                  <c:v>1928</c:v>
                </c:pt>
                <c:pt idx="35">
                  <c:v>1929</c:v>
                </c:pt>
                <c:pt idx="36">
                  <c:v>1930</c:v>
                </c:pt>
                <c:pt idx="37">
                  <c:v>1931</c:v>
                </c:pt>
                <c:pt idx="38">
                  <c:v>1932</c:v>
                </c:pt>
                <c:pt idx="39">
                  <c:v>1933</c:v>
                </c:pt>
                <c:pt idx="40">
                  <c:v>1934</c:v>
                </c:pt>
                <c:pt idx="41">
                  <c:v>1935</c:v>
                </c:pt>
                <c:pt idx="42">
                  <c:v>1936</c:v>
                </c:pt>
                <c:pt idx="43">
                  <c:v>1937</c:v>
                </c:pt>
                <c:pt idx="44">
                  <c:v>1938</c:v>
                </c:pt>
                <c:pt idx="45">
                  <c:v>1939</c:v>
                </c:pt>
              </c:numCache>
            </c:numRef>
          </c:cat>
          <c:val>
            <c:numRef>
              <c:f>Sheet4!$R$6:$R$51</c:f>
              <c:numCache>
                <c:formatCode>General</c:formatCode>
                <c:ptCount val="46"/>
                <c:pt idx="0">
                  <c:v>0.29702892995087471</c:v>
                </c:pt>
                <c:pt idx="1">
                  <c:v>0.33329888721283291</c:v>
                </c:pt>
                <c:pt idx="2">
                  <c:v>0.27982236839407892</c:v>
                </c:pt>
                <c:pt idx="3">
                  <c:v>0.2213221790831795</c:v>
                </c:pt>
                <c:pt idx="4">
                  <c:v>0.17916027221055211</c:v>
                </c:pt>
                <c:pt idx="5">
                  <c:v>0.15943276411622292</c:v>
                </c:pt>
                <c:pt idx="6">
                  <c:v>0.15731447463923146</c:v>
                </c:pt>
                <c:pt idx="7">
                  <c:v>9.444175909368771E-2</c:v>
                </c:pt>
                <c:pt idx="8">
                  <c:v>0.12300999685891527</c:v>
                </c:pt>
                <c:pt idx="9">
                  <c:v>0.15135557400932451</c:v>
                </c:pt>
                <c:pt idx="10">
                  <c:v>0.15007710488341353</c:v>
                </c:pt>
                <c:pt idx="11">
                  <c:v>0.12981724220348925</c:v>
                </c:pt>
                <c:pt idx="12">
                  <c:v>0.14745261843904919</c:v>
                </c:pt>
                <c:pt idx="13">
                  <c:v>0.24774956322400943</c:v>
                </c:pt>
                <c:pt idx="14">
                  <c:v>0.17063656783364822</c:v>
                </c:pt>
                <c:pt idx="15">
                  <c:v>0.14505996100037805</c:v>
                </c:pt>
                <c:pt idx="16">
                  <c:v>0.18808599190453054</c:v>
                </c:pt>
                <c:pt idx="17">
                  <c:v>0.1359482418920942</c:v>
                </c:pt>
                <c:pt idx="18">
                  <c:v>0.12589729180174869</c:v>
                </c:pt>
                <c:pt idx="19">
                  <c:v>0.16801185077925379</c:v>
                </c:pt>
                <c:pt idx="20">
                  <c:v>0.17435469004768211</c:v>
                </c:pt>
                <c:pt idx="21">
                  <c:v>0.17925538129903962</c:v>
                </c:pt>
                <c:pt idx="22">
                  <c:v>0.15131001096030539</c:v>
                </c:pt>
                <c:pt idx="23">
                  <c:v>0.16155678823089634</c:v>
                </c:pt>
                <c:pt idx="24">
                  <c:v>0.17339628993866957</c:v>
                </c:pt>
                <c:pt idx="25">
                  <c:v>0.10395064868461275</c:v>
                </c:pt>
                <c:pt idx="26">
                  <c:v>0.12103390942984867</c:v>
                </c:pt>
                <c:pt idx="27">
                  <c:v>0.15264855952761841</c:v>
                </c:pt>
                <c:pt idx="28">
                  <c:v>0.13299919806996446</c:v>
                </c:pt>
                <c:pt idx="29">
                  <c:v>0.10143417164981064</c:v>
                </c:pt>
                <c:pt idx="30">
                  <c:v>0.12450249989060758</c:v>
                </c:pt>
                <c:pt idx="31">
                  <c:v>0.10465191386794698</c:v>
                </c:pt>
                <c:pt idx="32">
                  <c:v>0.10142423698137454</c:v>
                </c:pt>
                <c:pt idx="33">
                  <c:v>9.1664991204285354E-2</c:v>
                </c:pt>
                <c:pt idx="34">
                  <c:v>8.3244107682161964E-2</c:v>
                </c:pt>
                <c:pt idx="35">
                  <c:v>5.0975723463309495E-2</c:v>
                </c:pt>
                <c:pt idx="36">
                  <c:v>8.3839065501114904E-2</c:v>
                </c:pt>
                <c:pt idx="37">
                  <c:v>9.5087496953033979E-2</c:v>
                </c:pt>
                <c:pt idx="38">
                  <c:v>0.16211773187887027</c:v>
                </c:pt>
                <c:pt idx="39">
                  <c:v>0.13974498320239762</c:v>
                </c:pt>
                <c:pt idx="40">
                  <c:v>0.11580942418864641</c:v>
                </c:pt>
                <c:pt idx="41">
                  <c:v>9.556938374047419E-2</c:v>
                </c:pt>
                <c:pt idx="42">
                  <c:v>8.1983984088448231E-2</c:v>
                </c:pt>
                <c:pt idx="43">
                  <c:v>6.1976726621132364E-2</c:v>
                </c:pt>
                <c:pt idx="44">
                  <c:v>9.7558947325016521E-2</c:v>
                </c:pt>
                <c:pt idx="45">
                  <c:v>8.4454854903627419E-2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86-4654-B306-4589D612F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453512"/>
        <c:axId val="350451544"/>
      </c:lineChart>
      <c:catAx>
        <c:axId val="350453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451544"/>
        <c:crosses val="autoZero"/>
        <c:auto val="1"/>
        <c:lblAlgn val="ctr"/>
        <c:lblOffset val="100"/>
        <c:noMultiLvlLbl val="0"/>
      </c:catAx>
      <c:valAx>
        <c:axId val="350451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453512"/>
        <c:crosses val="autoZero"/>
        <c:crossBetween val="between"/>
      </c:valAx>
      <c:spPr>
        <a:solidFill>
          <a:sysClr val="window" lastClr="FFFFFF"/>
        </a:solidFill>
        <a:ln w="1905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GE's Net Revenue without Affiliates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Sheet4!$A$6:$A$51</c:f>
              <c:numCache>
                <c:formatCode>General</c:formatCode>
                <c:ptCount val="46"/>
                <c:pt idx="0">
                  <c:v>1894</c:v>
                </c:pt>
                <c:pt idx="1">
                  <c:v>1895</c:v>
                </c:pt>
                <c:pt idx="2">
                  <c:v>1896</c:v>
                </c:pt>
                <c:pt idx="3">
                  <c:v>1897</c:v>
                </c:pt>
                <c:pt idx="4">
                  <c:v>1898</c:v>
                </c:pt>
                <c:pt idx="5">
                  <c:v>1899</c:v>
                </c:pt>
                <c:pt idx="6">
                  <c:v>1900</c:v>
                </c:pt>
                <c:pt idx="7">
                  <c:v>1901</c:v>
                </c:pt>
                <c:pt idx="8">
                  <c:v>1902</c:v>
                </c:pt>
                <c:pt idx="9">
                  <c:v>1903</c:v>
                </c:pt>
                <c:pt idx="10">
                  <c:v>1904</c:v>
                </c:pt>
                <c:pt idx="11">
                  <c:v>1905</c:v>
                </c:pt>
                <c:pt idx="12">
                  <c:v>1906</c:v>
                </c:pt>
                <c:pt idx="13">
                  <c:v>1907</c:v>
                </c:pt>
                <c:pt idx="14">
                  <c:v>1908</c:v>
                </c:pt>
                <c:pt idx="15">
                  <c:v>1909</c:v>
                </c:pt>
                <c:pt idx="16">
                  <c:v>1910</c:v>
                </c:pt>
                <c:pt idx="17">
                  <c:v>1911</c:v>
                </c:pt>
                <c:pt idx="18">
                  <c:v>1912</c:v>
                </c:pt>
                <c:pt idx="19">
                  <c:v>1913</c:v>
                </c:pt>
                <c:pt idx="20">
                  <c:v>1914</c:v>
                </c:pt>
                <c:pt idx="21">
                  <c:v>1915</c:v>
                </c:pt>
                <c:pt idx="22">
                  <c:v>1916</c:v>
                </c:pt>
                <c:pt idx="23">
                  <c:v>1917</c:v>
                </c:pt>
                <c:pt idx="24">
                  <c:v>1918</c:v>
                </c:pt>
                <c:pt idx="25">
                  <c:v>1919</c:v>
                </c:pt>
                <c:pt idx="26">
                  <c:v>1920</c:v>
                </c:pt>
                <c:pt idx="27">
                  <c:v>1921</c:v>
                </c:pt>
                <c:pt idx="28">
                  <c:v>1922</c:v>
                </c:pt>
                <c:pt idx="29">
                  <c:v>1923</c:v>
                </c:pt>
                <c:pt idx="30">
                  <c:v>1924</c:v>
                </c:pt>
                <c:pt idx="31">
                  <c:v>1925</c:v>
                </c:pt>
                <c:pt idx="32">
                  <c:v>1926</c:v>
                </c:pt>
                <c:pt idx="33">
                  <c:v>1927</c:v>
                </c:pt>
                <c:pt idx="34">
                  <c:v>1928</c:v>
                </c:pt>
                <c:pt idx="35">
                  <c:v>1929</c:v>
                </c:pt>
                <c:pt idx="36">
                  <c:v>1930</c:v>
                </c:pt>
                <c:pt idx="37">
                  <c:v>1931</c:v>
                </c:pt>
                <c:pt idx="38">
                  <c:v>1932</c:v>
                </c:pt>
                <c:pt idx="39">
                  <c:v>1933</c:v>
                </c:pt>
                <c:pt idx="40">
                  <c:v>1934</c:v>
                </c:pt>
                <c:pt idx="41">
                  <c:v>1935</c:v>
                </c:pt>
                <c:pt idx="42">
                  <c:v>1936</c:v>
                </c:pt>
                <c:pt idx="43">
                  <c:v>1937</c:v>
                </c:pt>
                <c:pt idx="44">
                  <c:v>1938</c:v>
                </c:pt>
                <c:pt idx="45">
                  <c:v>1939</c:v>
                </c:pt>
              </c:numCache>
            </c:numRef>
          </c:cat>
          <c:val>
            <c:numRef>
              <c:f>Sheet4!$B$6:$B$51</c:f>
              <c:numCache>
                <c:formatCode>#,##0</c:formatCode>
                <c:ptCount val="46"/>
                <c:pt idx="0">
                  <c:v>12541</c:v>
                </c:pt>
                <c:pt idx="1">
                  <c:v>12730</c:v>
                </c:pt>
                <c:pt idx="2">
                  <c:v>12541</c:v>
                </c:pt>
                <c:pt idx="3">
                  <c:v>12396</c:v>
                </c:pt>
                <c:pt idx="4">
                  <c:v>15679</c:v>
                </c:pt>
                <c:pt idx="5">
                  <c:v>22379</c:v>
                </c:pt>
                <c:pt idx="6">
                  <c:v>28783</c:v>
                </c:pt>
                <c:pt idx="7">
                  <c:v>32338</c:v>
                </c:pt>
                <c:pt idx="8">
                  <c:v>36686</c:v>
                </c:pt>
                <c:pt idx="9">
                  <c:v>41700</c:v>
                </c:pt>
                <c:pt idx="10">
                  <c:v>39231</c:v>
                </c:pt>
                <c:pt idx="11">
                  <c:v>43147</c:v>
                </c:pt>
                <c:pt idx="12">
                  <c:v>60072</c:v>
                </c:pt>
                <c:pt idx="13">
                  <c:v>70977</c:v>
                </c:pt>
                <c:pt idx="14">
                  <c:v>44541</c:v>
                </c:pt>
                <c:pt idx="15">
                  <c:v>51657</c:v>
                </c:pt>
                <c:pt idx="16">
                  <c:v>71479</c:v>
                </c:pt>
                <c:pt idx="17">
                  <c:v>70384</c:v>
                </c:pt>
                <c:pt idx="18">
                  <c:v>89182</c:v>
                </c:pt>
                <c:pt idx="19">
                  <c:v>106477</c:v>
                </c:pt>
                <c:pt idx="20">
                  <c:v>90468</c:v>
                </c:pt>
                <c:pt idx="21">
                  <c:v>85522</c:v>
                </c:pt>
                <c:pt idx="22">
                  <c:v>134242</c:v>
                </c:pt>
                <c:pt idx="23">
                  <c:v>196926</c:v>
                </c:pt>
                <c:pt idx="24">
                  <c:v>216815</c:v>
                </c:pt>
                <c:pt idx="25">
                  <c:v>229980</c:v>
                </c:pt>
                <c:pt idx="26">
                  <c:v>275758</c:v>
                </c:pt>
                <c:pt idx="27">
                  <c:v>221008</c:v>
                </c:pt>
                <c:pt idx="28">
                  <c:v>200194</c:v>
                </c:pt>
                <c:pt idx="29">
                  <c:v>271310</c:v>
                </c:pt>
                <c:pt idx="30">
                  <c:v>299252</c:v>
                </c:pt>
                <c:pt idx="31">
                  <c:v>290290</c:v>
                </c:pt>
                <c:pt idx="32">
                  <c:v>326974</c:v>
                </c:pt>
                <c:pt idx="33">
                  <c:v>312604</c:v>
                </c:pt>
                <c:pt idx="34">
                  <c:v>337189</c:v>
                </c:pt>
                <c:pt idx="35">
                  <c:v>415338</c:v>
                </c:pt>
                <c:pt idx="36">
                  <c:v>376167</c:v>
                </c:pt>
                <c:pt idx="37">
                  <c:v>263275</c:v>
                </c:pt>
                <c:pt idx="38">
                  <c:v>147162</c:v>
                </c:pt>
                <c:pt idx="39">
                  <c:v>136637</c:v>
                </c:pt>
                <c:pt idx="40">
                  <c:v>164797</c:v>
                </c:pt>
                <c:pt idx="41">
                  <c:v>208733</c:v>
                </c:pt>
                <c:pt idx="42">
                  <c:v>268545</c:v>
                </c:pt>
                <c:pt idx="43">
                  <c:v>349740</c:v>
                </c:pt>
                <c:pt idx="44">
                  <c:v>259484</c:v>
                </c:pt>
                <c:pt idx="45">
                  <c:v>304680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80-4129-A4A6-2B81F2041F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056624"/>
        <c:axId val="450055968"/>
      </c:lineChart>
      <c:catAx>
        <c:axId val="45005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055968"/>
        <c:crosses val="autoZero"/>
        <c:auto val="1"/>
        <c:lblAlgn val="ctr"/>
        <c:lblOffset val="100"/>
        <c:noMultiLvlLbl val="0"/>
      </c:catAx>
      <c:valAx>
        <c:axId val="450055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056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Figure 5.6: GE's Elasticity of Output</a:t>
            </a:r>
            <a:r>
              <a:rPr lang="en-US" sz="1400" b="1" baseline="0"/>
              <a:t> with Respect to Capital 1894-1929</a:t>
            </a:r>
            <a:endParaRPr lang="en-US" sz="1400" b="1"/>
          </a:p>
        </c:rich>
      </c:tx>
      <c:layout>
        <c:manualLayout>
          <c:xMode val="edge"/>
          <c:yMode val="edge"/>
          <c:x val="0.13102018789707362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218108067070128E-2"/>
          <c:y val="0.25083333333333335"/>
          <c:w val="0.88902952213617925"/>
          <c:h val="0.59695173519976674"/>
        </c:manualLayout>
      </c:layout>
      <c:lineChart>
        <c:grouping val="standard"/>
        <c:varyColors val="0"/>
        <c:ser>
          <c:idx val="0"/>
          <c:order val="0"/>
          <c:tx>
            <c:v>GE's Output Elasticity of Capital 1894-1929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Sheet4!$Q$6:$Q$41</c:f>
              <c:numCache>
                <c:formatCode>General</c:formatCode>
                <c:ptCount val="36"/>
                <c:pt idx="0">
                  <c:v>1894</c:v>
                </c:pt>
                <c:pt idx="1">
                  <c:v>1895</c:v>
                </c:pt>
                <c:pt idx="2">
                  <c:v>1896</c:v>
                </c:pt>
                <c:pt idx="3">
                  <c:v>1897</c:v>
                </c:pt>
                <c:pt idx="4">
                  <c:v>1898</c:v>
                </c:pt>
                <c:pt idx="5">
                  <c:v>1899</c:v>
                </c:pt>
                <c:pt idx="6">
                  <c:v>1900</c:v>
                </c:pt>
                <c:pt idx="7">
                  <c:v>1901</c:v>
                </c:pt>
                <c:pt idx="8">
                  <c:v>1902</c:v>
                </c:pt>
                <c:pt idx="9">
                  <c:v>1903</c:v>
                </c:pt>
                <c:pt idx="10">
                  <c:v>1904</c:v>
                </c:pt>
                <c:pt idx="11">
                  <c:v>1905</c:v>
                </c:pt>
                <c:pt idx="12">
                  <c:v>1906</c:v>
                </c:pt>
                <c:pt idx="13">
                  <c:v>1907</c:v>
                </c:pt>
                <c:pt idx="14">
                  <c:v>1908</c:v>
                </c:pt>
                <c:pt idx="15">
                  <c:v>1909</c:v>
                </c:pt>
                <c:pt idx="16">
                  <c:v>1910</c:v>
                </c:pt>
                <c:pt idx="17">
                  <c:v>1911</c:v>
                </c:pt>
                <c:pt idx="18">
                  <c:v>1912</c:v>
                </c:pt>
                <c:pt idx="19">
                  <c:v>1913</c:v>
                </c:pt>
                <c:pt idx="20">
                  <c:v>1914</c:v>
                </c:pt>
                <c:pt idx="21">
                  <c:v>1915</c:v>
                </c:pt>
                <c:pt idx="22">
                  <c:v>1916</c:v>
                </c:pt>
                <c:pt idx="23">
                  <c:v>1917</c:v>
                </c:pt>
                <c:pt idx="24">
                  <c:v>1918</c:v>
                </c:pt>
                <c:pt idx="25">
                  <c:v>1919</c:v>
                </c:pt>
                <c:pt idx="26">
                  <c:v>1920</c:v>
                </c:pt>
                <c:pt idx="27">
                  <c:v>1921</c:v>
                </c:pt>
                <c:pt idx="28">
                  <c:v>1922</c:v>
                </c:pt>
                <c:pt idx="29">
                  <c:v>1923</c:v>
                </c:pt>
                <c:pt idx="30">
                  <c:v>1924</c:v>
                </c:pt>
                <c:pt idx="31">
                  <c:v>1925</c:v>
                </c:pt>
                <c:pt idx="32">
                  <c:v>1926</c:v>
                </c:pt>
                <c:pt idx="33">
                  <c:v>1927</c:v>
                </c:pt>
                <c:pt idx="34">
                  <c:v>1928</c:v>
                </c:pt>
                <c:pt idx="35">
                  <c:v>1929</c:v>
                </c:pt>
              </c:numCache>
            </c:numRef>
          </c:cat>
          <c:val>
            <c:numRef>
              <c:f>Sheet4!$P$6:$P$41</c:f>
              <c:numCache>
                <c:formatCode>General</c:formatCode>
                <c:ptCount val="36"/>
                <c:pt idx="0">
                  <c:v>0.27765277886732909</c:v>
                </c:pt>
                <c:pt idx="1">
                  <c:v>0.31533217422428023</c:v>
                </c:pt>
                <c:pt idx="2">
                  <c:v>0.28574781298544411</c:v>
                </c:pt>
                <c:pt idx="3">
                  <c:v>0.26595640066299581</c:v>
                </c:pt>
                <c:pt idx="4">
                  <c:v>0.24501202215164436</c:v>
                </c:pt>
                <c:pt idx="5">
                  <c:v>0.22756743538106167</c:v>
                </c:pt>
                <c:pt idx="6">
                  <c:v>0.25424861319510872</c:v>
                </c:pt>
                <c:pt idx="7">
                  <c:v>0.16365056913520382</c:v>
                </c:pt>
                <c:pt idx="8">
                  <c:v>0.1981244167615748</c:v>
                </c:pt>
                <c:pt idx="9">
                  <c:v>0.22749514501063173</c:v>
                </c:pt>
                <c:pt idx="10">
                  <c:v>0.21011892825970119</c:v>
                </c:pt>
                <c:pt idx="11">
                  <c:v>0.17596667763350712</c:v>
                </c:pt>
                <c:pt idx="12">
                  <c:v>0.1915181551772753</c:v>
                </c:pt>
                <c:pt idx="13">
                  <c:v>0.30461720278120358</c:v>
                </c:pt>
                <c:pt idx="14">
                  <c:v>0.18726153020506583</c:v>
                </c:pt>
                <c:pt idx="15">
                  <c:v>0.16861314132485958</c:v>
                </c:pt>
                <c:pt idx="16">
                  <c:v>0.23401248452225101</c:v>
                </c:pt>
                <c:pt idx="17">
                  <c:v>0.16237682156205047</c:v>
                </c:pt>
                <c:pt idx="18">
                  <c:v>0.14374028609985828</c:v>
                </c:pt>
                <c:pt idx="19">
                  <c:v>0.19310887425327389</c:v>
                </c:pt>
                <c:pt idx="20">
                  <c:v>0.20374189319737029</c:v>
                </c:pt>
                <c:pt idx="21">
                  <c:v>0.20441549329232114</c:v>
                </c:pt>
                <c:pt idx="22">
                  <c:v>0.1829051474473255</c:v>
                </c:pt>
                <c:pt idx="23">
                  <c:v>0.21107980046285879</c:v>
                </c:pt>
                <c:pt idx="24">
                  <c:v>0.21150946674527193</c:v>
                </c:pt>
                <c:pt idx="25">
                  <c:v>0.12825449834038744</c:v>
                </c:pt>
                <c:pt idx="26">
                  <c:v>0.14787669247134649</c:v>
                </c:pt>
                <c:pt idx="27">
                  <c:v>0.18270287308371952</c:v>
                </c:pt>
                <c:pt idx="28">
                  <c:v>0.16256900981902214</c:v>
                </c:pt>
                <c:pt idx="29">
                  <c:v>0.12508425670631851</c:v>
                </c:pt>
                <c:pt idx="30">
                  <c:v>0.15715835811112464</c:v>
                </c:pt>
                <c:pt idx="31">
                  <c:v>0.13411688563306523</c:v>
                </c:pt>
                <c:pt idx="32">
                  <c:v>0.13265692537881202</c:v>
                </c:pt>
                <c:pt idx="33">
                  <c:v>0.11805841074555018</c:v>
                </c:pt>
                <c:pt idx="34">
                  <c:v>0.10740094620498017</c:v>
                </c:pt>
                <c:pt idx="35">
                  <c:v>6.7965189037257734E-2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04-4CED-9246-8851F6D04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5432720"/>
        <c:axId val="445430424"/>
      </c:lineChart>
      <c:catAx>
        <c:axId val="44543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430424"/>
        <c:crosses val="autoZero"/>
        <c:auto val="1"/>
        <c:lblAlgn val="ctr"/>
        <c:lblOffset val="100"/>
        <c:noMultiLvlLbl val="0"/>
      </c:catAx>
      <c:valAx>
        <c:axId val="445430424"/>
        <c:scaling>
          <c:orientation val="minMax"/>
          <c:max val="0.4"/>
          <c:min val="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432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Figure 5.5: Speed of Electricity Diffusion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0151249729104966E-2"/>
          <c:y val="0.11643017560949211"/>
          <c:w val="0.92882428543909079"/>
          <c:h val="0.74271477663230245"/>
        </c:manualLayout>
      </c:layout>
      <c:lineChart>
        <c:grouping val="standard"/>
        <c:varyColors val="0"/>
        <c:ser>
          <c:idx val="0"/>
          <c:order val="0"/>
          <c:tx>
            <c:v>Elasticity of 2.63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Sheet4!$A$8:$A$51</c:f>
              <c:numCache>
                <c:formatCode>General</c:formatCode>
                <c:ptCount val="44"/>
                <c:pt idx="0">
                  <c:v>1896</c:v>
                </c:pt>
                <c:pt idx="1">
                  <c:v>1897</c:v>
                </c:pt>
                <c:pt idx="2">
                  <c:v>1898</c:v>
                </c:pt>
                <c:pt idx="3">
                  <c:v>1899</c:v>
                </c:pt>
                <c:pt idx="4">
                  <c:v>1900</c:v>
                </c:pt>
                <c:pt idx="5">
                  <c:v>1901</c:v>
                </c:pt>
                <c:pt idx="6">
                  <c:v>1902</c:v>
                </c:pt>
                <c:pt idx="7">
                  <c:v>1903</c:v>
                </c:pt>
                <c:pt idx="8">
                  <c:v>1904</c:v>
                </c:pt>
                <c:pt idx="9">
                  <c:v>1905</c:v>
                </c:pt>
                <c:pt idx="10">
                  <c:v>1906</c:v>
                </c:pt>
                <c:pt idx="11">
                  <c:v>1907</c:v>
                </c:pt>
                <c:pt idx="12">
                  <c:v>1908</c:v>
                </c:pt>
                <c:pt idx="13">
                  <c:v>1909</c:v>
                </c:pt>
                <c:pt idx="14">
                  <c:v>1910</c:v>
                </c:pt>
                <c:pt idx="15">
                  <c:v>1911</c:v>
                </c:pt>
                <c:pt idx="16">
                  <c:v>1912</c:v>
                </c:pt>
                <c:pt idx="17">
                  <c:v>1913</c:v>
                </c:pt>
                <c:pt idx="18">
                  <c:v>1914</c:v>
                </c:pt>
                <c:pt idx="19">
                  <c:v>1915</c:v>
                </c:pt>
                <c:pt idx="20">
                  <c:v>1916</c:v>
                </c:pt>
                <c:pt idx="21">
                  <c:v>1917</c:v>
                </c:pt>
                <c:pt idx="22">
                  <c:v>1918</c:v>
                </c:pt>
                <c:pt idx="23">
                  <c:v>1919</c:v>
                </c:pt>
                <c:pt idx="24">
                  <c:v>1920</c:v>
                </c:pt>
                <c:pt idx="25">
                  <c:v>1921</c:v>
                </c:pt>
                <c:pt idx="26">
                  <c:v>1922</c:v>
                </c:pt>
                <c:pt idx="27">
                  <c:v>1923</c:v>
                </c:pt>
                <c:pt idx="28">
                  <c:v>1924</c:v>
                </c:pt>
                <c:pt idx="29">
                  <c:v>1925</c:v>
                </c:pt>
                <c:pt idx="30">
                  <c:v>1926</c:v>
                </c:pt>
                <c:pt idx="31">
                  <c:v>1927</c:v>
                </c:pt>
                <c:pt idx="32">
                  <c:v>1928</c:v>
                </c:pt>
                <c:pt idx="33">
                  <c:v>1929</c:v>
                </c:pt>
                <c:pt idx="34">
                  <c:v>1930</c:v>
                </c:pt>
                <c:pt idx="35">
                  <c:v>1931</c:v>
                </c:pt>
                <c:pt idx="36">
                  <c:v>1932</c:v>
                </c:pt>
                <c:pt idx="37">
                  <c:v>1933</c:v>
                </c:pt>
                <c:pt idx="38">
                  <c:v>1934</c:v>
                </c:pt>
                <c:pt idx="39">
                  <c:v>1935</c:v>
                </c:pt>
                <c:pt idx="40">
                  <c:v>1936</c:v>
                </c:pt>
                <c:pt idx="41">
                  <c:v>1937</c:v>
                </c:pt>
                <c:pt idx="42">
                  <c:v>1938</c:v>
                </c:pt>
                <c:pt idx="43">
                  <c:v>1939</c:v>
                </c:pt>
              </c:numCache>
            </c:numRef>
          </c:cat>
          <c:val>
            <c:numRef>
              <c:f>Sheet4!$U$8:$U$51</c:f>
              <c:numCache>
                <c:formatCode>General</c:formatCode>
                <c:ptCount val="44"/>
                <c:pt idx="0">
                  <c:v>0.94638036040551854</c:v>
                </c:pt>
                <c:pt idx="1">
                  <c:v>0.61682804406229119</c:v>
                </c:pt>
                <c:pt idx="2">
                  <c:v>0.43899832060348348</c:v>
                </c:pt>
                <c:pt idx="3">
                  <c:v>0.39226487463807103</c:v>
                </c:pt>
                <c:pt idx="4">
                  <c:v>0.28292514083262149</c:v>
                </c:pt>
                <c:pt idx="5">
                  <c:v>0.23554745735078836</c:v>
                </c:pt>
                <c:pt idx="6">
                  <c:v>0.28549356821518385</c:v>
                </c:pt>
                <c:pt idx="7">
                  <c:v>0.34242000868861899</c:v>
                </c:pt>
                <c:pt idx="8">
                  <c:v>0.41268964338675251</c:v>
                </c:pt>
                <c:pt idx="9">
                  <c:v>0.44934727685661841</c:v>
                </c:pt>
                <c:pt idx="10">
                  <c:v>0.50274050681613691</c:v>
                </c:pt>
                <c:pt idx="11">
                  <c:v>0.58073737957104943</c:v>
                </c:pt>
                <c:pt idx="12">
                  <c:v>0.78308680884367265</c:v>
                </c:pt>
                <c:pt idx="13">
                  <c:v>0.67320237563529906</c:v>
                </c:pt>
                <c:pt idx="14">
                  <c:v>0.5629357444018771</c:v>
                </c:pt>
                <c:pt idx="15">
                  <c:v>0.62674999837983292</c:v>
                </c:pt>
                <c:pt idx="16">
                  <c:v>0.70568621270182386</c:v>
                </c:pt>
                <c:pt idx="17">
                  <c:v>0.69340043295380294</c:v>
                </c:pt>
                <c:pt idx="18">
                  <c:v>0.66387936599098385</c:v>
                </c:pt>
                <c:pt idx="19">
                  <c:v>0.70791411769611101</c:v>
                </c:pt>
                <c:pt idx="20">
                  <c:v>0.60729228326433216</c:v>
                </c:pt>
                <c:pt idx="21">
                  <c:v>0.49499470029117004</c:v>
                </c:pt>
                <c:pt idx="22">
                  <c:v>0.59300352537193968</c:v>
                </c:pt>
                <c:pt idx="23">
                  <c:v>0.57547252191821785</c:v>
                </c:pt>
                <c:pt idx="24">
                  <c:v>0.59048556606079305</c:v>
                </c:pt>
                <c:pt idx="25">
                  <c:v>0.62333496294986168</c:v>
                </c:pt>
                <c:pt idx="26">
                  <c:v>0.58978485833060723</c:v>
                </c:pt>
                <c:pt idx="27">
                  <c:v>0.57626427861711971</c:v>
                </c:pt>
                <c:pt idx="28">
                  <c:v>0.54193942791260863</c:v>
                </c:pt>
                <c:pt idx="29">
                  <c:v>0.52077912877183641</c:v>
                </c:pt>
                <c:pt idx="30">
                  <c:v>0.49359765917521875</c:v>
                </c:pt>
                <c:pt idx="31">
                  <c:v>0.51402030512960262</c:v>
                </c:pt>
                <c:pt idx="32">
                  <c:v>0.51165637353203219</c:v>
                </c:pt>
                <c:pt idx="33">
                  <c:v>0.46930174101983668</c:v>
                </c:pt>
                <c:pt idx="34">
                  <c:v>0.52308432891600321</c:v>
                </c:pt>
                <c:pt idx="35">
                  <c:v>0.55806954195615399</c:v>
                </c:pt>
                <c:pt idx="36">
                  <c:v>0.9532992494286131</c:v>
                </c:pt>
                <c:pt idx="37">
                  <c:v>0.748024069725859</c:v>
                </c:pt>
                <c:pt idx="38">
                  <c:v>0.69483191779961273</c:v>
                </c:pt>
                <c:pt idx="39">
                  <c:v>0.51942344242454319</c:v>
                </c:pt>
                <c:pt idx="40">
                  <c:v>0.42358982345705831</c:v>
                </c:pt>
                <c:pt idx="41">
                  <c:v>0.37836676257082885</c:v>
                </c:pt>
                <c:pt idx="42">
                  <c:v>0.48390528035941049</c:v>
                </c:pt>
                <c:pt idx="43">
                  <c:v>0.39541091244936538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05-492E-9C82-43FCE9A22AD7}"/>
            </c:ext>
          </c:extLst>
        </c:ser>
        <c:ser>
          <c:idx val="1"/>
          <c:order val="1"/>
          <c:tx>
            <c:v>Elasticity of 3</c:v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Sheet4!$A$8:$A$51</c:f>
              <c:numCache>
                <c:formatCode>General</c:formatCode>
                <c:ptCount val="44"/>
                <c:pt idx="0">
                  <c:v>1896</c:v>
                </c:pt>
                <c:pt idx="1">
                  <c:v>1897</c:v>
                </c:pt>
                <c:pt idx="2">
                  <c:v>1898</c:v>
                </c:pt>
                <c:pt idx="3">
                  <c:v>1899</c:v>
                </c:pt>
                <c:pt idx="4">
                  <c:v>1900</c:v>
                </c:pt>
                <c:pt idx="5">
                  <c:v>1901</c:v>
                </c:pt>
                <c:pt idx="6">
                  <c:v>1902</c:v>
                </c:pt>
                <c:pt idx="7">
                  <c:v>1903</c:v>
                </c:pt>
                <c:pt idx="8">
                  <c:v>1904</c:v>
                </c:pt>
                <c:pt idx="9">
                  <c:v>1905</c:v>
                </c:pt>
                <c:pt idx="10">
                  <c:v>1906</c:v>
                </c:pt>
                <c:pt idx="11">
                  <c:v>1907</c:v>
                </c:pt>
                <c:pt idx="12">
                  <c:v>1908</c:v>
                </c:pt>
                <c:pt idx="13">
                  <c:v>1909</c:v>
                </c:pt>
                <c:pt idx="14">
                  <c:v>1910</c:v>
                </c:pt>
                <c:pt idx="15">
                  <c:v>1911</c:v>
                </c:pt>
                <c:pt idx="16">
                  <c:v>1912</c:v>
                </c:pt>
                <c:pt idx="17">
                  <c:v>1913</c:v>
                </c:pt>
                <c:pt idx="18">
                  <c:v>1914</c:v>
                </c:pt>
                <c:pt idx="19">
                  <c:v>1915</c:v>
                </c:pt>
                <c:pt idx="20">
                  <c:v>1916</c:v>
                </c:pt>
                <c:pt idx="21">
                  <c:v>1917</c:v>
                </c:pt>
                <c:pt idx="22">
                  <c:v>1918</c:v>
                </c:pt>
                <c:pt idx="23">
                  <c:v>1919</c:v>
                </c:pt>
                <c:pt idx="24">
                  <c:v>1920</c:v>
                </c:pt>
                <c:pt idx="25">
                  <c:v>1921</c:v>
                </c:pt>
                <c:pt idx="26">
                  <c:v>1922</c:v>
                </c:pt>
                <c:pt idx="27">
                  <c:v>1923</c:v>
                </c:pt>
                <c:pt idx="28">
                  <c:v>1924</c:v>
                </c:pt>
                <c:pt idx="29">
                  <c:v>1925</c:v>
                </c:pt>
                <c:pt idx="30">
                  <c:v>1926</c:v>
                </c:pt>
                <c:pt idx="31">
                  <c:v>1927</c:v>
                </c:pt>
                <c:pt idx="32">
                  <c:v>1928</c:v>
                </c:pt>
                <c:pt idx="33">
                  <c:v>1929</c:v>
                </c:pt>
                <c:pt idx="34">
                  <c:v>1930</c:v>
                </c:pt>
                <c:pt idx="35">
                  <c:v>1931</c:v>
                </c:pt>
                <c:pt idx="36">
                  <c:v>1932</c:v>
                </c:pt>
                <c:pt idx="37">
                  <c:v>1933</c:v>
                </c:pt>
                <c:pt idx="38">
                  <c:v>1934</c:v>
                </c:pt>
                <c:pt idx="39">
                  <c:v>1935</c:v>
                </c:pt>
                <c:pt idx="40">
                  <c:v>1936</c:v>
                </c:pt>
                <c:pt idx="41">
                  <c:v>1937</c:v>
                </c:pt>
                <c:pt idx="42">
                  <c:v>1938</c:v>
                </c:pt>
                <c:pt idx="43">
                  <c:v>1939</c:v>
                </c:pt>
              </c:numCache>
            </c:numRef>
          </c:cat>
          <c:val>
            <c:numRef>
              <c:f>Sheet4!$V$8:$V$51</c:f>
              <c:numCache>
                <c:formatCode>General</c:formatCode>
                <c:ptCount val="44"/>
                <c:pt idx="0">
                  <c:v>0.93907123749751009</c:v>
                </c:pt>
                <c:pt idx="1">
                  <c:v>0.57629316963652288</c:v>
                </c:pt>
                <c:pt idx="2">
                  <c:v>0.39098757542235435</c:v>
                </c:pt>
                <c:pt idx="3">
                  <c:v>0.34387640777322154</c:v>
                </c:pt>
                <c:pt idx="4">
                  <c:v>0.23688102554642562</c:v>
                </c:pt>
                <c:pt idx="5">
                  <c:v>0.19219391931128346</c:v>
                </c:pt>
                <c:pt idx="6">
                  <c:v>0.23933555390877992</c:v>
                </c:pt>
                <c:pt idx="7">
                  <c:v>0.29449563360494896</c:v>
                </c:pt>
                <c:pt idx="8">
                  <c:v>0.36437435113597832</c:v>
                </c:pt>
                <c:pt idx="9">
                  <c:v>0.40151875272859056</c:v>
                </c:pt>
                <c:pt idx="10">
                  <c:v>0.45638106575375348</c:v>
                </c:pt>
                <c:pt idx="11">
                  <c:v>0.53799150130686313</c:v>
                </c:pt>
                <c:pt idx="12">
                  <c:v>0.75660745791590667</c:v>
                </c:pt>
                <c:pt idx="13">
                  <c:v>0.63674920366770227</c:v>
                </c:pt>
                <c:pt idx="14">
                  <c:v>0.51922102792816016</c:v>
                </c:pt>
                <c:pt idx="15">
                  <c:v>0.58687914713119993</c:v>
                </c:pt>
                <c:pt idx="16">
                  <c:v>0.6719139367455077</c:v>
                </c:pt>
                <c:pt idx="17">
                  <c:v>0.65858684484888863</c:v>
                </c:pt>
                <c:pt idx="18">
                  <c:v>0.62670028237247288</c:v>
                </c:pt>
                <c:pt idx="19">
                  <c:v>0.6743341884713856</c:v>
                </c:pt>
                <c:pt idx="20">
                  <c:v>0.56614177808921529</c:v>
                </c:pt>
                <c:pt idx="21">
                  <c:v>0.44836903027122516</c:v>
                </c:pt>
                <c:pt idx="22">
                  <c:v>0.55097256184242094</c:v>
                </c:pt>
                <c:pt idx="23">
                  <c:v>0.53243156252731139</c:v>
                </c:pt>
                <c:pt idx="24">
                  <c:v>0.54830473881013619</c:v>
                </c:pt>
                <c:pt idx="25">
                  <c:v>0.58323288146699559</c:v>
                </c:pt>
                <c:pt idx="26">
                  <c:v>0.5475626107331022</c:v>
                </c:pt>
                <c:pt idx="27">
                  <c:v>0.53326723955930022</c:v>
                </c:pt>
                <c:pt idx="28">
                  <c:v>0.49718929172405885</c:v>
                </c:pt>
                <c:pt idx="29">
                  <c:v>0.47510668947941415</c:v>
                </c:pt>
                <c:pt idx="30">
                  <c:v>0.44692584046099143</c:v>
                </c:pt>
                <c:pt idx="31">
                  <c:v>0.46807959078409334</c:v>
                </c:pt>
                <c:pt idx="32">
                  <c:v>0.46562488672401253</c:v>
                </c:pt>
                <c:pt idx="33">
                  <c:v>0.42192048034325846</c:v>
                </c:pt>
                <c:pt idx="34">
                  <c:v>0.47750633311860841</c:v>
                </c:pt>
                <c:pt idx="35">
                  <c:v>0.51410439441610711</c:v>
                </c:pt>
                <c:pt idx="36">
                  <c:v>0.94690657141933043</c:v>
                </c:pt>
                <c:pt idx="37">
                  <c:v>0.71808765291583299</c:v>
                </c:pt>
                <c:pt idx="38">
                  <c:v>0.66013796067616137</c:v>
                </c:pt>
                <c:pt idx="39">
                  <c:v>0.47369615823308159</c:v>
                </c:pt>
                <c:pt idx="40">
                  <c:v>0.37537259947464108</c:v>
                </c:pt>
                <c:pt idx="41">
                  <c:v>0.33001365892387285</c:v>
                </c:pt>
                <c:pt idx="42">
                  <c:v>0.43692918866789482</c:v>
                </c:pt>
                <c:pt idx="43">
                  <c:v>0.3470241327894989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05-492E-9C82-43FCE9A22AD7}"/>
            </c:ext>
          </c:extLst>
        </c:ser>
        <c:ser>
          <c:idx val="2"/>
          <c:order val="2"/>
          <c:tx>
            <c:v>Elasticity of 2</c:v>
          </c:tx>
          <c:spPr>
            <a:ln w="952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Sheet4!$A$8:$A$51</c:f>
              <c:numCache>
                <c:formatCode>General</c:formatCode>
                <c:ptCount val="44"/>
                <c:pt idx="0">
                  <c:v>1896</c:v>
                </c:pt>
                <c:pt idx="1">
                  <c:v>1897</c:v>
                </c:pt>
                <c:pt idx="2">
                  <c:v>1898</c:v>
                </c:pt>
                <c:pt idx="3">
                  <c:v>1899</c:v>
                </c:pt>
                <c:pt idx="4">
                  <c:v>1900</c:v>
                </c:pt>
                <c:pt idx="5">
                  <c:v>1901</c:v>
                </c:pt>
                <c:pt idx="6">
                  <c:v>1902</c:v>
                </c:pt>
                <c:pt idx="7">
                  <c:v>1903</c:v>
                </c:pt>
                <c:pt idx="8">
                  <c:v>1904</c:v>
                </c:pt>
                <c:pt idx="9">
                  <c:v>1905</c:v>
                </c:pt>
                <c:pt idx="10">
                  <c:v>1906</c:v>
                </c:pt>
                <c:pt idx="11">
                  <c:v>1907</c:v>
                </c:pt>
                <c:pt idx="12">
                  <c:v>1908</c:v>
                </c:pt>
                <c:pt idx="13">
                  <c:v>1909</c:v>
                </c:pt>
                <c:pt idx="14">
                  <c:v>1910</c:v>
                </c:pt>
                <c:pt idx="15">
                  <c:v>1911</c:v>
                </c:pt>
                <c:pt idx="16">
                  <c:v>1912</c:v>
                </c:pt>
                <c:pt idx="17">
                  <c:v>1913</c:v>
                </c:pt>
                <c:pt idx="18">
                  <c:v>1914</c:v>
                </c:pt>
                <c:pt idx="19">
                  <c:v>1915</c:v>
                </c:pt>
                <c:pt idx="20">
                  <c:v>1916</c:v>
                </c:pt>
                <c:pt idx="21">
                  <c:v>1917</c:v>
                </c:pt>
                <c:pt idx="22">
                  <c:v>1918</c:v>
                </c:pt>
                <c:pt idx="23">
                  <c:v>1919</c:v>
                </c:pt>
                <c:pt idx="24">
                  <c:v>1920</c:v>
                </c:pt>
                <c:pt idx="25">
                  <c:v>1921</c:v>
                </c:pt>
                <c:pt idx="26">
                  <c:v>1922</c:v>
                </c:pt>
                <c:pt idx="27">
                  <c:v>1923</c:v>
                </c:pt>
                <c:pt idx="28">
                  <c:v>1924</c:v>
                </c:pt>
                <c:pt idx="29">
                  <c:v>1925</c:v>
                </c:pt>
                <c:pt idx="30">
                  <c:v>1926</c:v>
                </c:pt>
                <c:pt idx="31">
                  <c:v>1927</c:v>
                </c:pt>
                <c:pt idx="32">
                  <c:v>1928</c:v>
                </c:pt>
                <c:pt idx="33">
                  <c:v>1929</c:v>
                </c:pt>
                <c:pt idx="34">
                  <c:v>1930</c:v>
                </c:pt>
                <c:pt idx="35">
                  <c:v>1931</c:v>
                </c:pt>
                <c:pt idx="36">
                  <c:v>1932</c:v>
                </c:pt>
                <c:pt idx="37">
                  <c:v>1933</c:v>
                </c:pt>
                <c:pt idx="38">
                  <c:v>1934</c:v>
                </c:pt>
                <c:pt idx="39">
                  <c:v>1935</c:v>
                </c:pt>
                <c:pt idx="40">
                  <c:v>1936</c:v>
                </c:pt>
                <c:pt idx="41">
                  <c:v>1937</c:v>
                </c:pt>
                <c:pt idx="42">
                  <c:v>1938</c:v>
                </c:pt>
                <c:pt idx="43">
                  <c:v>1939</c:v>
                </c:pt>
              </c:numCache>
            </c:numRef>
          </c:cat>
          <c:val>
            <c:numRef>
              <c:f>Sheet4!$W$8:$W$51</c:f>
              <c:numCache>
                <c:formatCode>General</c:formatCode>
                <c:ptCount val="44"/>
                <c:pt idx="0">
                  <c:v>0.95895676207894665</c:v>
                </c:pt>
                <c:pt idx="1">
                  <c:v>0.69251467592678939</c:v>
                </c:pt>
                <c:pt idx="2">
                  <c:v>0.53469809633810894</c:v>
                </c:pt>
                <c:pt idx="3">
                  <c:v>0.4908343190233973</c:v>
                </c:pt>
                <c:pt idx="4">
                  <c:v>0.38284253483686981</c:v>
                </c:pt>
                <c:pt idx="5">
                  <c:v>0.33303746755093228</c:v>
                </c:pt>
                <c:pt idx="6">
                  <c:v>0.38548262937418964</c:v>
                </c:pt>
                <c:pt idx="7">
                  <c:v>0.44264195296717851</c:v>
                </c:pt>
                <c:pt idx="8">
                  <c:v>0.51015075354426953</c:v>
                </c:pt>
                <c:pt idx="9">
                  <c:v>0.54425683157287641</c:v>
                </c:pt>
                <c:pt idx="10">
                  <c:v>0.59276844790062078</c:v>
                </c:pt>
                <c:pt idx="11">
                  <c:v>0.66148034376140963</c:v>
                </c:pt>
                <c:pt idx="12">
                  <c:v>0.83032302004587522</c:v>
                </c:pt>
                <c:pt idx="13">
                  <c:v>0.74013726962351989</c:v>
                </c:pt>
                <c:pt idx="14">
                  <c:v>0.64600346645346907</c:v>
                </c:pt>
                <c:pt idx="15">
                  <c:v>0.7009694956397442</c:v>
                </c:pt>
                <c:pt idx="16">
                  <c:v>0.76714201012654237</c:v>
                </c:pt>
                <c:pt idx="17">
                  <c:v>0.75696424756299729</c:v>
                </c:pt>
                <c:pt idx="18">
                  <c:v>0.73232960904564792</c:v>
                </c:pt>
                <c:pt idx="19">
                  <c:v>0.76898308313711883</c:v>
                </c:pt>
                <c:pt idx="20">
                  <c:v>0.68435819110914142</c:v>
                </c:pt>
                <c:pt idx="21">
                  <c:v>0.58581039199735896</c:v>
                </c:pt>
                <c:pt idx="22">
                  <c:v>0.6720784671216764</c:v>
                </c:pt>
                <c:pt idx="23">
                  <c:v>0.65691502474132279</c:v>
                </c:pt>
                <c:pt idx="24">
                  <c:v>0.66990723197785629</c:v>
                </c:pt>
                <c:pt idx="25">
                  <c:v>0.69806307672125212</c:v>
                </c:pt>
                <c:pt idx="26">
                  <c:v>0.66930261785467071</c:v>
                </c:pt>
                <c:pt idx="27">
                  <c:v>0.65760221827798482</c:v>
                </c:pt>
                <c:pt idx="28">
                  <c:v>0.62759746050433096</c:v>
                </c:pt>
                <c:pt idx="29">
                  <c:v>0.60887400126115698</c:v>
                </c:pt>
                <c:pt idx="30">
                  <c:v>0.58455266347021329</c:v>
                </c:pt>
                <c:pt idx="31">
                  <c:v>0.60285537438434933</c:v>
                </c:pt>
                <c:pt idx="32">
                  <c:v>0.60074586422003029</c:v>
                </c:pt>
                <c:pt idx="33">
                  <c:v>0.56254042624544676</c:v>
                </c:pt>
                <c:pt idx="34">
                  <c:v>0.61092245828436664</c:v>
                </c:pt>
                <c:pt idx="35">
                  <c:v>0.64175246290166965</c:v>
                </c:pt>
                <c:pt idx="36">
                  <c:v>0.96428354025404084</c:v>
                </c:pt>
                <c:pt idx="37">
                  <c:v>0.8018964784043886</c:v>
                </c:pt>
                <c:pt idx="38">
                  <c:v>0.75815232556532586</c:v>
                </c:pt>
                <c:pt idx="39">
                  <c:v>0.60766829126387589</c:v>
                </c:pt>
                <c:pt idx="40">
                  <c:v>0.52036536014083756</c:v>
                </c:pt>
                <c:pt idx="41">
                  <c:v>0.47755266921024564</c:v>
                </c:pt>
                <c:pt idx="42">
                  <c:v>0.57580315329216691</c:v>
                </c:pt>
                <c:pt idx="43">
                  <c:v>0.49382505229355361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05-492E-9C82-43FCE9A22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7394192"/>
        <c:axId val="437402392"/>
      </c:lineChart>
      <c:catAx>
        <c:axId val="437394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402392"/>
        <c:crosses val="autoZero"/>
        <c:auto val="1"/>
        <c:lblAlgn val="ctr"/>
        <c:lblOffset val="100"/>
        <c:noMultiLvlLbl val="0"/>
      </c:catAx>
      <c:valAx>
        <c:axId val="4374023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394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8215960533603022"/>
          <c:y val="0.65116053792245043"/>
          <c:w val="0.26119007199788102"/>
          <c:h val="0.12279919906918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281940</xdr:colOff>
      <xdr:row>52</xdr:row>
      <xdr:rowOff>129540</xdr:rowOff>
    </xdr:from>
    <xdr:to>
      <xdr:col>15</xdr:col>
      <xdr:colOff>91440</xdr:colOff>
      <xdr:row>78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213360</xdr:colOff>
      <xdr:row>55</xdr:row>
      <xdr:rowOff>60960</xdr:rowOff>
    </xdr:from>
    <xdr:to>
      <xdr:col>41</xdr:col>
      <xdr:colOff>472440</xdr:colOff>
      <xdr:row>73</xdr:row>
      <xdr:rowOff>11430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60960</xdr:colOff>
      <xdr:row>54</xdr:row>
      <xdr:rowOff>19050</xdr:rowOff>
    </xdr:from>
    <xdr:to>
      <xdr:col>26</xdr:col>
      <xdr:colOff>975360</xdr:colOff>
      <xdr:row>73</xdr:row>
      <xdr:rowOff>121920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55</xdr:row>
      <xdr:rowOff>38100</xdr:rowOff>
    </xdr:from>
    <xdr:to>
      <xdr:col>9</xdr:col>
      <xdr:colOff>213360</xdr:colOff>
      <xdr:row>73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594360</xdr:colOff>
      <xdr:row>59</xdr:row>
      <xdr:rowOff>68580</xdr:rowOff>
    </xdr:from>
    <xdr:to>
      <xdr:col>13</xdr:col>
      <xdr:colOff>571500</xdr:colOff>
      <xdr:row>78</xdr:row>
      <xdr:rowOff>22860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518160</xdr:colOff>
      <xdr:row>79</xdr:row>
      <xdr:rowOff>121920</xdr:rowOff>
    </xdr:from>
    <xdr:to>
      <xdr:col>14</xdr:col>
      <xdr:colOff>502920</xdr:colOff>
      <xdr:row>99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541020</xdr:colOff>
      <xdr:row>74</xdr:row>
      <xdr:rowOff>140970</xdr:rowOff>
    </xdr:from>
    <xdr:to>
      <xdr:col>9</xdr:col>
      <xdr:colOff>228600</xdr:colOff>
      <xdr:row>89</xdr:row>
      <xdr:rowOff>140970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601980</xdr:colOff>
      <xdr:row>57</xdr:row>
      <xdr:rowOff>102870</xdr:rowOff>
    </xdr:from>
    <xdr:to>
      <xdr:col>23</xdr:col>
      <xdr:colOff>228600</xdr:colOff>
      <xdr:row>72</xdr:row>
      <xdr:rowOff>102870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30</xdr:col>
      <xdr:colOff>266700</xdr:colOff>
      <xdr:row>5</xdr:row>
      <xdr:rowOff>30480</xdr:rowOff>
    </xdr:from>
    <xdr:to>
      <xdr:col>41</xdr:col>
      <xdr:colOff>205740</xdr:colOff>
      <xdr:row>25</xdr:row>
      <xdr:rowOff>68580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56"/>
  <sheetViews>
    <sheetView topLeftCell="L1" workbookViewId="0">
      <pane ySplit="1" topLeftCell="A2" activePane="bottomLeft" state="frozen"/>
      <selection pane="bottomLeft" activeCell="AF4" sqref="AF4"/>
    </sheetView>
  </sheetViews>
  <sheetFormatPr defaultRowHeight="14.4" x14ac:dyDescent="0.3"/>
  <cols>
    <col min="1" max="2" width="9.77734375" customWidth="1"/>
    <col min="3" max="3" width="11.44140625" customWidth="1"/>
    <col min="4" max="4" width="6.77734375" customWidth="1"/>
    <col min="5" max="5" width="8.6640625" customWidth="1"/>
    <col min="6" max="6" width="11.77734375" customWidth="1"/>
    <col min="7" max="7" width="6.44140625" customWidth="1"/>
    <col min="8" max="8" width="7.33203125" customWidth="1"/>
    <col min="9" max="9" width="6.5546875" customWidth="1"/>
    <col min="10" max="10" width="7.21875" customWidth="1"/>
    <col min="11" max="11" width="7.88671875" customWidth="1"/>
    <col min="12" max="12" width="7" customWidth="1"/>
    <col min="13" max="13" width="7.88671875" customWidth="1"/>
    <col min="14" max="14" width="9.77734375" customWidth="1"/>
    <col min="15" max="15" width="8" customWidth="1"/>
    <col min="16" max="16" width="7.21875" customWidth="1"/>
    <col min="17" max="17" width="7.77734375" customWidth="1"/>
    <col min="18" max="18" width="10.109375" customWidth="1"/>
    <col min="22" max="22" width="11.5546875" customWidth="1"/>
    <col min="28" max="29" width="11.77734375" customWidth="1"/>
  </cols>
  <sheetData>
    <row r="1" spans="1:33" ht="144" x14ac:dyDescent="0.3">
      <c r="A1" s="1" t="s">
        <v>0</v>
      </c>
      <c r="B1" s="1" t="s">
        <v>71</v>
      </c>
      <c r="C1" s="1" t="s">
        <v>68</v>
      </c>
      <c r="D1" s="1" t="s">
        <v>69</v>
      </c>
      <c r="E1" s="8" t="s">
        <v>63</v>
      </c>
      <c r="F1" s="1" t="s">
        <v>5</v>
      </c>
      <c r="G1" s="1" t="s">
        <v>1</v>
      </c>
      <c r="H1" s="1" t="s">
        <v>70</v>
      </c>
      <c r="I1" s="1" t="s">
        <v>6</v>
      </c>
      <c r="J1" s="1" t="s">
        <v>72</v>
      </c>
      <c r="K1" s="1" t="s">
        <v>73</v>
      </c>
      <c r="L1" s="1" t="s">
        <v>74</v>
      </c>
      <c r="M1" s="1" t="s">
        <v>75</v>
      </c>
      <c r="N1" s="1" t="s">
        <v>76</v>
      </c>
      <c r="O1" s="1" t="s">
        <v>7</v>
      </c>
      <c r="P1" s="8" t="s">
        <v>2</v>
      </c>
      <c r="Q1" s="8" t="s">
        <v>10</v>
      </c>
      <c r="R1" s="8" t="s">
        <v>11</v>
      </c>
      <c r="S1" s="1" t="s">
        <v>14</v>
      </c>
      <c r="T1" s="1" t="s">
        <v>46</v>
      </c>
      <c r="U1" s="1" t="s">
        <v>47</v>
      </c>
      <c r="V1" s="26" t="s">
        <v>77</v>
      </c>
      <c r="W1" s="26" t="s">
        <v>78</v>
      </c>
      <c r="X1" s="26" t="s">
        <v>79</v>
      </c>
      <c r="Y1" s="1"/>
      <c r="Z1" s="1" t="s">
        <v>80</v>
      </c>
      <c r="AA1" s="28" t="s">
        <v>64</v>
      </c>
      <c r="AB1" s="1" t="s">
        <v>98</v>
      </c>
      <c r="AC1" s="1" t="s">
        <v>98</v>
      </c>
      <c r="AD1" s="11" t="s">
        <v>81</v>
      </c>
      <c r="AE1" s="11" t="s">
        <v>82</v>
      </c>
      <c r="AF1" s="11" t="s">
        <v>83</v>
      </c>
      <c r="AG1" s="11" t="s">
        <v>66</v>
      </c>
    </row>
    <row r="2" spans="1:33" ht="15.6" x14ac:dyDescent="0.3">
      <c r="B2" s="4" t="s">
        <v>12</v>
      </c>
      <c r="C2" s="5"/>
      <c r="D2" s="2"/>
      <c r="E2" s="10"/>
      <c r="I2" s="1"/>
      <c r="J2" s="1"/>
      <c r="K2" s="1"/>
      <c r="L2" s="1"/>
      <c r="M2" s="1"/>
      <c r="N2" s="1"/>
      <c r="O2" s="1"/>
      <c r="P2" s="8"/>
      <c r="Q2" s="8"/>
      <c r="R2" s="8"/>
      <c r="S2" s="1"/>
      <c r="T2" s="1"/>
      <c r="U2" s="1"/>
      <c r="V2" s="26"/>
      <c r="W2" s="26"/>
      <c r="X2" s="26"/>
      <c r="Y2" s="1"/>
      <c r="Z2" s="1"/>
      <c r="AA2" s="28"/>
      <c r="AB2" s="1"/>
      <c r="AC2" s="1"/>
      <c r="AD2" s="11"/>
      <c r="AE2" s="11"/>
      <c r="AF2" s="11"/>
      <c r="AG2" s="11"/>
    </row>
    <row r="3" spans="1:33" ht="15.6" x14ac:dyDescent="0.3">
      <c r="A3">
        <v>1893</v>
      </c>
      <c r="B3" s="4"/>
      <c r="C3" s="5"/>
      <c r="D3" s="2"/>
      <c r="E3" s="10"/>
      <c r="J3" s="2">
        <v>4433</v>
      </c>
      <c r="N3" s="2"/>
      <c r="P3" s="10"/>
      <c r="Q3" s="10">
        <v>57.5</v>
      </c>
      <c r="R3" s="10"/>
      <c r="S3" s="3"/>
      <c r="T3" s="3"/>
      <c r="U3" s="3"/>
      <c r="V3" s="7"/>
      <c r="W3" s="7"/>
      <c r="X3" s="7"/>
      <c r="Y3" s="3"/>
    </row>
    <row r="4" spans="1:33" x14ac:dyDescent="0.3">
      <c r="A4">
        <v>1894</v>
      </c>
      <c r="B4" s="2">
        <v>12541</v>
      </c>
      <c r="C4" s="2">
        <v>12384</v>
      </c>
      <c r="D4" s="2">
        <v>547</v>
      </c>
      <c r="E4" s="10">
        <f>D4/J4</f>
        <v>0.1265032377428307</v>
      </c>
      <c r="F4" s="2">
        <f t="shared" ref="F4:F49" si="0">C4-D4</f>
        <v>11837</v>
      </c>
      <c r="G4" s="2">
        <v>465</v>
      </c>
      <c r="I4" s="2">
        <v>0</v>
      </c>
      <c r="J4" s="2">
        <v>4324</v>
      </c>
      <c r="K4" s="2">
        <v>404</v>
      </c>
      <c r="L4" s="2">
        <v>6551</v>
      </c>
      <c r="M4" s="2">
        <v>421</v>
      </c>
      <c r="N4" s="2">
        <f t="shared" ref="N4:N49" si="1">J4+K4+L4-M4+X4</f>
        <v>15475</v>
      </c>
      <c r="O4" s="2">
        <v>8750</v>
      </c>
      <c r="P4" s="10">
        <f>O4/N4</f>
        <v>0.56542810985460423</v>
      </c>
      <c r="Q4" s="10">
        <v>55.9</v>
      </c>
      <c r="R4" s="10">
        <f>(Q4-Q3)/Q3</f>
        <v>-2.7826086956521764E-2</v>
      </c>
      <c r="S4" s="3">
        <v>0.36334191512332864</v>
      </c>
      <c r="T4">
        <v>6.3828739755391814E-2</v>
      </c>
      <c r="U4" s="3">
        <f>(T4*N4)/Sheet2!P3</f>
        <v>0.31883465065031902</v>
      </c>
      <c r="V4" s="7">
        <v>3860</v>
      </c>
      <c r="W4" s="7">
        <v>757</v>
      </c>
      <c r="X4" s="7">
        <f>V4+W4</f>
        <v>4617</v>
      </c>
      <c r="Y4">
        <v>1894</v>
      </c>
      <c r="Z4">
        <v>1.0513319638734414E-2</v>
      </c>
      <c r="AA4" s="12">
        <v>4.41</v>
      </c>
      <c r="AB4">
        <v>-3.628478445060157E-2</v>
      </c>
      <c r="AD4">
        <f t="shared" ref="AD4:AD49" si="2">(AA4/100+Z4+E4-(1-E4)*AB4)</f>
        <v>0.21281119911836488</v>
      </c>
      <c r="AE4">
        <f>(AA4/100+Z4-0.0168)</f>
        <v>3.7813319638734411E-2</v>
      </c>
      <c r="AF4">
        <f>(AD4*J4+(AE4*X3))/Sheet2!P3</f>
        <v>0.29702892995087471</v>
      </c>
      <c r="AG4">
        <f>1-AF4-Sheet4!M6</f>
        <v>-6.9785547123244029E-2</v>
      </c>
    </row>
    <row r="5" spans="1:33" x14ac:dyDescent="0.3">
      <c r="A5">
        <f t="shared" ref="A5:A49" si="3">A4 +1</f>
        <v>1895</v>
      </c>
      <c r="B5" s="2">
        <v>12730</v>
      </c>
      <c r="C5" s="2">
        <v>12421</v>
      </c>
      <c r="D5" s="2">
        <v>661</v>
      </c>
      <c r="E5" s="10">
        <f t="shared" ref="E5:E49" si="4">D5/J5</f>
        <v>0.16853646098929118</v>
      </c>
      <c r="F5" s="2">
        <f t="shared" si="0"/>
        <v>11760</v>
      </c>
      <c r="G5">
        <v>438</v>
      </c>
      <c r="I5">
        <v>0</v>
      </c>
      <c r="J5" s="2">
        <v>3922</v>
      </c>
      <c r="K5" s="2">
        <v>880</v>
      </c>
      <c r="L5" s="2">
        <v>6584</v>
      </c>
      <c r="M5" s="2">
        <v>428</v>
      </c>
      <c r="N5" s="2">
        <f t="shared" si="1"/>
        <v>16139</v>
      </c>
      <c r="O5" s="2">
        <v>8750</v>
      </c>
      <c r="P5" s="10">
        <f t="shared" ref="P5:P49" si="5">O5/N5</f>
        <v>0.54216494206580335</v>
      </c>
      <c r="Q5" s="10">
        <v>62.6</v>
      </c>
      <c r="R5" s="10">
        <f>(Q5-Q4)/Q4</f>
        <v>0.11985688729874781</v>
      </c>
      <c r="S5" s="3">
        <v>0.35616884438474378</v>
      </c>
      <c r="T5">
        <v>5.759544365069573E-2</v>
      </c>
      <c r="U5" s="3">
        <f>(T5*N5)/Sheet2!P4</f>
        <v>0.26479400213040633</v>
      </c>
      <c r="V5" s="7">
        <v>4220</v>
      </c>
      <c r="W5" s="7">
        <v>961</v>
      </c>
      <c r="X5" s="7">
        <f t="shared" ref="X5:X49" si="6">V5+W5</f>
        <v>5181</v>
      </c>
      <c r="Y5">
        <f t="shared" ref="Y5:Y49" si="7">Y4 +1</f>
        <v>1895</v>
      </c>
      <c r="Z5">
        <v>1.034827507135487E-2</v>
      </c>
      <c r="AA5" s="12">
        <v>4.2699999999999996</v>
      </c>
      <c r="AB5">
        <v>-4.096865772389735E-2</v>
      </c>
      <c r="AD5">
        <f t="shared" si="2"/>
        <v>0.25564868120027617</v>
      </c>
      <c r="AE5">
        <f t="shared" ref="AE5:AE49" si="8">(AA5/100+Z5-0.0168)</f>
        <v>3.6248275071354863E-2</v>
      </c>
      <c r="AF5">
        <f>(AD5*J5+(AE5*X4))/Sheet2!P4</f>
        <v>0.33329888721283291</v>
      </c>
      <c r="AG5">
        <f>1-AF5-Sheet4!M7</f>
        <v>-5.6977100521857449E-2</v>
      </c>
    </row>
    <row r="6" spans="1:33" x14ac:dyDescent="0.3">
      <c r="A6">
        <f t="shared" si="3"/>
        <v>1896</v>
      </c>
      <c r="B6" s="2">
        <v>12541</v>
      </c>
      <c r="C6" s="2">
        <v>11937</v>
      </c>
      <c r="D6" s="2">
        <v>509</v>
      </c>
      <c r="E6" s="10">
        <f t="shared" si="4"/>
        <v>0.12589661142715805</v>
      </c>
      <c r="F6" s="2">
        <f t="shared" si="0"/>
        <v>11428</v>
      </c>
      <c r="G6">
        <v>431</v>
      </c>
      <c r="I6">
        <v>0</v>
      </c>
      <c r="J6" s="2">
        <v>4043</v>
      </c>
      <c r="K6" s="2">
        <v>703</v>
      </c>
      <c r="L6" s="2">
        <v>4579</v>
      </c>
      <c r="M6" s="2">
        <v>402</v>
      </c>
      <c r="N6" s="2">
        <f t="shared" si="1"/>
        <v>13476</v>
      </c>
      <c r="O6" s="2">
        <v>8000</v>
      </c>
      <c r="P6" s="10">
        <f t="shared" si="5"/>
        <v>0.59364796675571385</v>
      </c>
      <c r="Q6" s="10">
        <v>61.3</v>
      </c>
      <c r="R6" s="10">
        <f t="shared" ref="R6:R49" si="9">(Q6-Q5)/Q5</f>
        <v>-2.0766773162939366E-2</v>
      </c>
      <c r="S6" s="3">
        <v>0.36566413748971571</v>
      </c>
      <c r="T6">
        <v>6.4126973580156968E-2</v>
      </c>
      <c r="U6" s="3">
        <f>(T6*N6)/Sheet2!P5</f>
        <v>0.23336531445712924</v>
      </c>
      <c r="V6" s="7">
        <v>4035</v>
      </c>
      <c r="W6" s="7">
        <v>518</v>
      </c>
      <c r="X6" s="7">
        <f t="shared" si="6"/>
        <v>4553</v>
      </c>
      <c r="Y6">
        <f t="shared" si="7"/>
        <v>1896</v>
      </c>
      <c r="Z6">
        <v>1.0406811355779194E-2</v>
      </c>
      <c r="AA6" s="12">
        <v>4.34</v>
      </c>
      <c r="AB6">
        <v>-3.3372095204981966E-2</v>
      </c>
      <c r="AD6">
        <f t="shared" si="2"/>
        <v>0.20887408428538748</v>
      </c>
      <c r="AE6">
        <f t="shared" si="8"/>
        <v>3.7006811355779198E-2</v>
      </c>
      <c r="AF6">
        <f>(AD6*J6+(AE6*X5))/Sheet2!P5</f>
        <v>0.27982236839407892</v>
      </c>
      <c r="AG6">
        <f>1-AF6-Sheet4!M8</f>
        <v>2.0736622721472919E-2</v>
      </c>
    </row>
    <row r="7" spans="1:33" x14ac:dyDescent="0.3">
      <c r="A7">
        <f t="shared" si="3"/>
        <v>1897</v>
      </c>
      <c r="B7" s="2">
        <v>12396</v>
      </c>
      <c r="C7" s="2">
        <v>11230</v>
      </c>
      <c r="D7" s="2">
        <v>439</v>
      </c>
      <c r="E7" s="10">
        <f t="shared" si="4"/>
        <v>0.11010785051417106</v>
      </c>
      <c r="F7" s="2">
        <f t="shared" si="0"/>
        <v>10791</v>
      </c>
      <c r="G7">
        <v>333</v>
      </c>
      <c r="I7">
        <v>0</v>
      </c>
      <c r="J7" s="2">
        <v>3987</v>
      </c>
      <c r="K7" s="2">
        <v>1426</v>
      </c>
      <c r="L7" s="2">
        <v>4537</v>
      </c>
      <c r="M7" s="2">
        <v>264</v>
      </c>
      <c r="N7" s="2">
        <f t="shared" si="1"/>
        <v>13831</v>
      </c>
      <c r="O7" s="2">
        <v>7000</v>
      </c>
      <c r="P7" s="10">
        <f t="shared" si="5"/>
        <v>0.50610946424698144</v>
      </c>
      <c r="Q7" s="10">
        <v>67.099999999999994</v>
      </c>
      <c r="R7" s="10">
        <f t="shared" si="9"/>
        <v>9.4616639477977119E-2</v>
      </c>
      <c r="S7" s="3">
        <v>0.31682809812618812</v>
      </c>
      <c r="T7">
        <v>6.2182825008010367E-2</v>
      </c>
      <c r="U7" s="3">
        <f>(T7*N7)/Sheet2!P6</f>
        <v>0.2085274591906196</v>
      </c>
      <c r="V7" s="7">
        <v>3861</v>
      </c>
      <c r="W7" s="7">
        <v>284</v>
      </c>
      <c r="X7" s="7">
        <f t="shared" si="6"/>
        <v>4145</v>
      </c>
      <c r="Y7">
        <f t="shared" si="7"/>
        <v>1897</v>
      </c>
      <c r="Z7">
        <v>9.8920227164457867E-3</v>
      </c>
      <c r="AA7" s="12">
        <v>4.1100000000000003</v>
      </c>
      <c r="AB7">
        <v>-3.236745248371431E-2</v>
      </c>
      <c r="AD7">
        <f t="shared" si="2"/>
        <v>0.18990341509472983</v>
      </c>
      <c r="AE7">
        <f t="shared" si="8"/>
        <v>3.4192022716445794E-2</v>
      </c>
      <c r="AF7">
        <f>(AD7*J7+(AE7*X6))/Sheet2!P6</f>
        <v>0.2213221790831795</v>
      </c>
      <c r="AG7">
        <f>1-AF7-Sheet4!M9</f>
        <v>0.16782533328225535</v>
      </c>
    </row>
    <row r="8" spans="1:33" x14ac:dyDescent="0.3">
      <c r="A8">
        <f t="shared" si="3"/>
        <v>1898</v>
      </c>
      <c r="B8" s="2">
        <v>15679</v>
      </c>
      <c r="C8" s="2">
        <v>13364</v>
      </c>
      <c r="D8" s="2">
        <v>898</v>
      </c>
      <c r="E8" s="10">
        <f t="shared" si="4"/>
        <v>0.2236612702366127</v>
      </c>
      <c r="F8" s="2">
        <f t="shared" si="0"/>
        <v>12466</v>
      </c>
      <c r="G8">
        <v>290</v>
      </c>
      <c r="I8" s="2">
        <v>1610</v>
      </c>
      <c r="J8" s="2">
        <v>4015</v>
      </c>
      <c r="K8" s="2">
        <v>1537</v>
      </c>
      <c r="L8" s="2">
        <v>5087</v>
      </c>
      <c r="M8" s="2">
        <v>432</v>
      </c>
      <c r="N8" s="2">
        <f t="shared" si="1"/>
        <v>15596</v>
      </c>
      <c r="O8" s="2">
        <v>6350</v>
      </c>
      <c r="P8" s="10">
        <f t="shared" si="5"/>
        <v>0.40715568094383175</v>
      </c>
      <c r="Q8" s="10">
        <v>68.599999999999994</v>
      </c>
      <c r="R8" s="10">
        <f t="shared" si="9"/>
        <v>2.2354694485842028E-2</v>
      </c>
      <c r="S8" s="3">
        <v>0.31831169482179555</v>
      </c>
      <c r="T8">
        <v>7.3637827252170995E-2</v>
      </c>
      <c r="U8" s="3">
        <f>(T8*N8)/Sheet2!P7</f>
        <v>0.16010812126374724</v>
      </c>
      <c r="V8" s="7">
        <v>4882</v>
      </c>
      <c r="W8" s="7">
        <v>507</v>
      </c>
      <c r="X8" s="7">
        <f t="shared" si="6"/>
        <v>5389</v>
      </c>
      <c r="Y8">
        <f t="shared" si="7"/>
        <v>1898</v>
      </c>
      <c r="Z8">
        <v>9.4475355505381255E-3</v>
      </c>
      <c r="AA8" s="12">
        <v>4.03</v>
      </c>
      <c r="AB8">
        <v>-1.6301810225825886E-2</v>
      </c>
      <c r="AD8">
        <f t="shared" si="2"/>
        <v>0.28606453243071228</v>
      </c>
      <c r="AE8">
        <f t="shared" si="8"/>
        <v>3.2947535550538129E-2</v>
      </c>
      <c r="AF8">
        <f>(AD8*J8+(AE8*X7))/Sheet2!P7</f>
        <v>0.17916027221055211</v>
      </c>
      <c r="AG8">
        <f>1-AF8-Sheet4!M10</f>
        <v>0.26876946430136761</v>
      </c>
    </row>
    <row r="9" spans="1:33" x14ac:dyDescent="0.3">
      <c r="A9">
        <f t="shared" si="3"/>
        <v>1899</v>
      </c>
      <c r="B9" s="2">
        <v>22379</v>
      </c>
      <c r="C9" s="2">
        <v>18927</v>
      </c>
      <c r="D9" s="2">
        <v>1330</v>
      </c>
      <c r="E9" s="10">
        <f t="shared" si="4"/>
        <v>0.33551967709384461</v>
      </c>
      <c r="F9" s="2">
        <f t="shared" si="0"/>
        <v>17597</v>
      </c>
      <c r="G9">
        <v>281</v>
      </c>
      <c r="I9" s="2">
        <v>1001</v>
      </c>
      <c r="J9" s="2">
        <v>3964</v>
      </c>
      <c r="K9" s="2">
        <v>1537</v>
      </c>
      <c r="L9" s="2">
        <v>6978</v>
      </c>
      <c r="M9" s="2">
        <v>1003</v>
      </c>
      <c r="N9" s="2">
        <f t="shared" si="1"/>
        <v>20398</v>
      </c>
      <c r="O9" s="2">
        <v>5500</v>
      </c>
      <c r="P9" s="10">
        <f t="shared" si="5"/>
        <v>0.26963427787037947</v>
      </c>
      <c r="Q9" s="10">
        <v>74.8</v>
      </c>
      <c r="R9" s="10">
        <f t="shared" si="9"/>
        <v>9.0379008746355738E-2</v>
      </c>
      <c r="S9" s="3">
        <v>0.23503269091064485</v>
      </c>
      <c r="T9">
        <v>9.2070229055724442E-2</v>
      </c>
      <c r="U9" s="3">
        <f>(T9*N9)/Sheet2!P8</f>
        <v>0.18020039649574623</v>
      </c>
      <c r="V9" s="7">
        <v>8048</v>
      </c>
      <c r="W9" s="7">
        <v>874</v>
      </c>
      <c r="X9" s="7">
        <f t="shared" si="6"/>
        <v>8922</v>
      </c>
      <c r="Y9">
        <f t="shared" si="7"/>
        <v>1899</v>
      </c>
      <c r="Z9">
        <v>9.2235979134182751E-3</v>
      </c>
      <c r="AA9" s="12">
        <v>3.85</v>
      </c>
      <c r="AB9">
        <v>9.1933726897972523E-3</v>
      </c>
      <c r="AD9">
        <f t="shared" si="2"/>
        <v>0.37713445975374982</v>
      </c>
      <c r="AE9">
        <f t="shared" si="8"/>
        <v>3.0923597913418279E-2</v>
      </c>
      <c r="AF9">
        <f>(AD9*J9+(AE9*X8))/Sheet2!P8</f>
        <v>0.15943276411622292</v>
      </c>
      <c r="AG9">
        <f>1-AF9-Sheet4!M11</f>
        <v>0.2994043113011633</v>
      </c>
    </row>
    <row r="10" spans="1:33" x14ac:dyDescent="0.3">
      <c r="A10">
        <f t="shared" si="3"/>
        <v>1900</v>
      </c>
      <c r="B10" s="2">
        <v>28783</v>
      </c>
      <c r="C10" s="2">
        <v>23585</v>
      </c>
      <c r="D10" s="2">
        <v>1567</v>
      </c>
      <c r="E10" s="10">
        <f t="shared" si="4"/>
        <v>0.39954105048444671</v>
      </c>
      <c r="F10" s="2">
        <f t="shared" si="0"/>
        <v>22018</v>
      </c>
      <c r="G10">
        <v>240</v>
      </c>
      <c r="I10" s="2">
        <v>1729</v>
      </c>
      <c r="J10" s="2">
        <v>3922</v>
      </c>
      <c r="K10" s="2">
        <v>2374</v>
      </c>
      <c r="L10" s="2">
        <v>9598</v>
      </c>
      <c r="M10" s="2">
        <v>820</v>
      </c>
      <c r="N10" s="2">
        <f t="shared" si="1"/>
        <v>24120</v>
      </c>
      <c r="O10" s="2">
        <v>3517</v>
      </c>
      <c r="P10" s="10">
        <f t="shared" si="5"/>
        <v>0.14581260364842455</v>
      </c>
      <c r="Q10" s="10">
        <v>76.900000000000006</v>
      </c>
      <c r="R10" s="10">
        <f t="shared" si="9"/>
        <v>2.8074866310160543E-2</v>
      </c>
      <c r="S10" s="3">
        <v>0.1305493689680772</v>
      </c>
      <c r="T10">
        <v>0.10624367677503606</v>
      </c>
      <c r="U10" s="3">
        <f>(T10*N10)/Sheet2!P9</f>
        <v>0.2040122190760186</v>
      </c>
      <c r="V10" s="7">
        <v>7991</v>
      </c>
      <c r="W10" s="7">
        <v>1055</v>
      </c>
      <c r="X10" s="7">
        <f t="shared" si="6"/>
        <v>9046</v>
      </c>
      <c r="Y10">
        <f t="shared" si="7"/>
        <v>1900</v>
      </c>
      <c r="Z10">
        <v>9.461767816406768E-3</v>
      </c>
      <c r="AA10" s="12">
        <v>3.89</v>
      </c>
      <c r="AB10">
        <v>2.6429651758192119E-2</v>
      </c>
      <c r="AD10">
        <f t="shared" si="2"/>
        <v>0.43203289737006756</v>
      </c>
      <c r="AE10">
        <f t="shared" si="8"/>
        <v>3.156176781640678E-2</v>
      </c>
      <c r="AF10">
        <f>(AD10*J10+(AE10*X9))/Sheet2!P9</f>
        <v>0.15731447463923146</v>
      </c>
      <c r="AG10">
        <f>1-AF10-Sheet4!M12</f>
        <v>0.38125729512432244</v>
      </c>
    </row>
    <row r="11" spans="1:33" x14ac:dyDescent="0.3">
      <c r="A11">
        <f t="shared" si="3"/>
        <v>1901</v>
      </c>
      <c r="B11" s="2">
        <v>32338</v>
      </c>
      <c r="C11" s="2">
        <v>25254</v>
      </c>
      <c r="D11" s="2">
        <v>1132</v>
      </c>
      <c r="E11" s="10">
        <f t="shared" si="4"/>
        <v>0.25358422939068098</v>
      </c>
      <c r="F11" s="2">
        <f t="shared" si="0"/>
        <v>24122</v>
      </c>
      <c r="G11">
        <v>42</v>
      </c>
      <c r="I11" s="2">
        <v>1956</v>
      </c>
      <c r="J11" s="2">
        <v>4464</v>
      </c>
      <c r="K11" s="2">
        <v>4058</v>
      </c>
      <c r="L11" s="2">
        <v>11364</v>
      </c>
      <c r="M11" s="2">
        <v>1349</v>
      </c>
      <c r="N11" s="2">
        <f t="shared" si="1"/>
        <v>28752</v>
      </c>
      <c r="O11" s="2">
        <v>923</v>
      </c>
      <c r="P11" s="10">
        <f t="shared" si="5"/>
        <v>3.2102114635503616E-2</v>
      </c>
      <c r="Q11" s="10">
        <v>85.7</v>
      </c>
      <c r="R11" s="10">
        <f t="shared" si="9"/>
        <v>0.11443433029908968</v>
      </c>
      <c r="S11" s="3">
        <v>2.8752102672730671E-2</v>
      </c>
      <c r="T11">
        <v>0.11672264654139709</v>
      </c>
      <c r="U11" s="3">
        <f>(T11*N11)/Sheet2!P10</f>
        <v>0.2113223054819123</v>
      </c>
      <c r="V11" s="7">
        <v>8877</v>
      </c>
      <c r="W11" s="7">
        <v>1338</v>
      </c>
      <c r="X11" s="7">
        <f t="shared" si="6"/>
        <v>10215</v>
      </c>
      <c r="Y11">
        <f t="shared" si="7"/>
        <v>1901</v>
      </c>
      <c r="Z11">
        <v>9.7616047184316389E-3</v>
      </c>
      <c r="AA11" s="12">
        <v>3.83</v>
      </c>
      <c r="AB11">
        <v>3.886851848113948E-2</v>
      </c>
      <c r="AD11">
        <f t="shared" si="2"/>
        <v>0.27263375893457031</v>
      </c>
      <c r="AE11">
        <f t="shared" si="8"/>
        <v>3.1261604718431646E-2</v>
      </c>
      <c r="AF11">
        <f>(AD11*J11+(AE11*X10))/Sheet2!P10</f>
        <v>9.444175909368771E-2</v>
      </c>
      <c r="AG11">
        <f>1-AF11-Sheet4!M13</f>
        <v>0.42290601497595531</v>
      </c>
    </row>
    <row r="12" spans="1:33" x14ac:dyDescent="0.3">
      <c r="A12">
        <f t="shared" si="3"/>
        <v>1902</v>
      </c>
      <c r="B12" s="2">
        <v>36686</v>
      </c>
      <c r="C12" s="2">
        <v>28845</v>
      </c>
      <c r="D12" s="2">
        <v>1908</v>
      </c>
      <c r="E12" s="10">
        <f t="shared" si="4"/>
        <v>0.35125184094256257</v>
      </c>
      <c r="F12" s="2">
        <f t="shared" si="0"/>
        <v>26937</v>
      </c>
      <c r="G12">
        <v>77</v>
      </c>
      <c r="I12" s="2">
        <v>2677</v>
      </c>
      <c r="J12" s="2">
        <v>5432</v>
      </c>
      <c r="K12" s="2">
        <v>3633</v>
      </c>
      <c r="L12" s="2">
        <v>12817</v>
      </c>
      <c r="M12" s="2">
        <v>1379</v>
      </c>
      <c r="N12" s="2">
        <f t="shared" si="1"/>
        <v>33833</v>
      </c>
      <c r="O12" s="2">
        <v>2285</v>
      </c>
      <c r="P12" s="10">
        <f t="shared" si="5"/>
        <v>6.753761120799219E-2</v>
      </c>
      <c r="Q12" s="10">
        <v>86.5</v>
      </c>
      <c r="R12" s="10">
        <f t="shared" si="9"/>
        <v>9.3348891481913315E-3</v>
      </c>
      <c r="S12" s="3">
        <v>6.1404923143072131E-2</v>
      </c>
      <c r="T12">
        <v>0.11032927215503217</v>
      </c>
      <c r="U12" s="3">
        <f>(T12*N12)/Sheet2!P11</f>
        <v>0.19226218206650544</v>
      </c>
      <c r="V12" s="7">
        <v>11561</v>
      </c>
      <c r="W12" s="7">
        <v>1769</v>
      </c>
      <c r="X12" s="7">
        <f t="shared" si="6"/>
        <v>13330</v>
      </c>
      <c r="Y12">
        <f t="shared" si="7"/>
        <v>1902</v>
      </c>
      <c r="Z12">
        <v>9.9032579653502619E-3</v>
      </c>
      <c r="AA12" s="12">
        <v>3.84</v>
      </c>
      <c r="AB12">
        <v>2.9497726551644732E-2</v>
      </c>
      <c r="AD12">
        <f t="shared" si="2"/>
        <v>0.38041850311115366</v>
      </c>
      <c r="AE12">
        <f t="shared" si="8"/>
        <v>3.1503257965350265E-2</v>
      </c>
      <c r="AF12">
        <f>(AD12*J12+(AE12*X11))/Sheet2!P11</f>
        <v>0.12300999685891527</v>
      </c>
      <c r="AG12">
        <f>1-AF12-Sheet4!M14</f>
        <v>0.37912752567520785</v>
      </c>
    </row>
    <row r="13" spans="1:33" x14ac:dyDescent="0.3">
      <c r="A13">
        <f t="shared" si="3"/>
        <v>1903</v>
      </c>
      <c r="B13" s="2">
        <v>41700</v>
      </c>
      <c r="C13" s="2">
        <v>34918</v>
      </c>
      <c r="D13" s="2">
        <v>2028</v>
      </c>
      <c r="E13" s="10">
        <f t="shared" si="4"/>
        <v>0.29289428076256502</v>
      </c>
      <c r="F13" s="2">
        <f t="shared" si="0"/>
        <v>32890</v>
      </c>
      <c r="G13">
        <v>76</v>
      </c>
      <c r="I13" s="2">
        <v>3509</v>
      </c>
      <c r="J13" s="2">
        <v>6924</v>
      </c>
      <c r="K13" s="2">
        <v>3289</v>
      </c>
      <c r="L13" s="2">
        <v>15207</v>
      </c>
      <c r="M13" s="2">
        <v>1811</v>
      </c>
      <c r="N13" s="2">
        <f t="shared" si="1"/>
        <v>37463</v>
      </c>
      <c r="O13" s="2">
        <v>2131</v>
      </c>
      <c r="P13" s="10">
        <f t="shared" si="5"/>
        <v>5.6882791020473535E-2</v>
      </c>
      <c r="Q13" s="10">
        <v>90.8</v>
      </c>
      <c r="R13" s="10">
        <f t="shared" si="9"/>
        <v>4.9710982658959506E-2</v>
      </c>
      <c r="S13" s="3">
        <v>5.1630566458303051E-2</v>
      </c>
      <c r="T13">
        <v>0.10071428287270244</v>
      </c>
      <c r="U13" s="3">
        <f>(T13*N13)/Sheet2!P12</f>
        <v>0.20815729776343658</v>
      </c>
      <c r="V13" s="7">
        <v>11808</v>
      </c>
      <c r="W13" s="7">
        <v>2046</v>
      </c>
      <c r="X13" s="7">
        <f t="shared" si="6"/>
        <v>13854</v>
      </c>
      <c r="Y13">
        <f t="shared" si="7"/>
        <v>1903</v>
      </c>
      <c r="Z13">
        <v>9.7767126030732284E-3</v>
      </c>
      <c r="AA13" s="12">
        <v>4.03</v>
      </c>
      <c r="AB13">
        <v>1.5285662289548529E-2</v>
      </c>
      <c r="AD13">
        <f t="shared" si="2"/>
        <v>0.3321624141383665</v>
      </c>
      <c r="AE13">
        <f t="shared" si="8"/>
        <v>3.327671260307323E-2</v>
      </c>
      <c r="AF13">
        <f>(AD13*J13+(AE13*X12))/Sheet2!P12</f>
        <v>0.15135557400932451</v>
      </c>
      <c r="AG13">
        <f>1-AF13-Sheet4!M15</f>
        <v>0.33468657538932933</v>
      </c>
    </row>
    <row r="14" spans="1:33" x14ac:dyDescent="0.3">
      <c r="A14">
        <f t="shared" si="3"/>
        <v>1904</v>
      </c>
      <c r="B14" s="2">
        <v>39231</v>
      </c>
      <c r="C14" s="2">
        <v>33528</v>
      </c>
      <c r="D14" s="2">
        <v>1778</v>
      </c>
      <c r="E14" s="10">
        <f t="shared" si="4"/>
        <v>0.22620865139949109</v>
      </c>
      <c r="F14" s="2">
        <f t="shared" si="0"/>
        <v>31750</v>
      </c>
      <c r="G14">
        <v>76</v>
      </c>
      <c r="I14" s="2">
        <v>3569</v>
      </c>
      <c r="J14" s="2">
        <v>7860</v>
      </c>
      <c r="K14" s="2">
        <v>6529</v>
      </c>
      <c r="L14" s="2">
        <v>16747</v>
      </c>
      <c r="M14" s="2">
        <v>1345</v>
      </c>
      <c r="N14" s="2">
        <f t="shared" si="1"/>
        <v>43801</v>
      </c>
      <c r="O14" s="2">
        <v>2127</v>
      </c>
      <c r="P14" s="10">
        <f t="shared" si="5"/>
        <v>4.8560535147599372E-2</v>
      </c>
      <c r="Q14" s="10">
        <v>89.7</v>
      </c>
      <c r="R14" s="10">
        <f t="shared" si="9"/>
        <v>-1.2114537444933859E-2</v>
      </c>
      <c r="S14" s="3">
        <v>4.5115174139905824E-2</v>
      </c>
      <c r="T14">
        <v>9.4265882352548361E-2</v>
      </c>
      <c r="U14" s="3">
        <f>(T14*N14)/Sheet2!P13</f>
        <v>0.24054412542522405</v>
      </c>
      <c r="V14" s="7">
        <v>12000</v>
      </c>
      <c r="W14" s="7">
        <v>2010</v>
      </c>
      <c r="X14" s="7">
        <f t="shared" si="6"/>
        <v>14010</v>
      </c>
      <c r="Y14">
        <f t="shared" si="7"/>
        <v>1904</v>
      </c>
      <c r="Z14">
        <v>9.7072549554574217E-3</v>
      </c>
      <c r="AA14" s="12">
        <v>3.98</v>
      </c>
      <c r="AB14">
        <v>7.2640297236121754E-3</v>
      </c>
      <c r="AD14">
        <f t="shared" si="2"/>
        <v>0.27009506299884045</v>
      </c>
      <c r="AE14">
        <f t="shared" si="8"/>
        <v>3.2707254955457427E-2</v>
      </c>
      <c r="AF14">
        <f>(AD14*J14+(AE14*X13))/Sheet2!P13</f>
        <v>0.15007710488341353</v>
      </c>
      <c r="AG14">
        <f>1-AF14-Sheet4!M16</f>
        <v>0.2857516163516578</v>
      </c>
    </row>
    <row r="15" spans="1:33" x14ac:dyDescent="0.3">
      <c r="A15">
        <f t="shared" si="3"/>
        <v>1905</v>
      </c>
      <c r="B15" s="2">
        <v>43147</v>
      </c>
      <c r="C15" s="2">
        <v>37025</v>
      </c>
      <c r="D15" s="2">
        <v>1838</v>
      </c>
      <c r="E15" s="10">
        <f t="shared" si="4"/>
        <v>0.21988276109582486</v>
      </c>
      <c r="F15" s="2">
        <f t="shared" si="0"/>
        <v>35187</v>
      </c>
      <c r="G15">
        <v>75</v>
      </c>
      <c r="I15" s="2">
        <v>3861</v>
      </c>
      <c r="J15" s="2">
        <v>8359</v>
      </c>
      <c r="K15" s="2">
        <v>6356</v>
      </c>
      <c r="L15" s="2">
        <v>16287</v>
      </c>
      <c r="M15" s="2">
        <v>2107</v>
      </c>
      <c r="N15" s="2">
        <f t="shared" si="1"/>
        <v>48313</v>
      </c>
      <c r="O15" s="2">
        <v>2072</v>
      </c>
      <c r="P15" s="10">
        <f t="shared" si="5"/>
        <v>4.2887007637695859E-2</v>
      </c>
      <c r="Q15" s="10">
        <v>96.3</v>
      </c>
      <c r="R15" s="10">
        <f t="shared" si="9"/>
        <v>7.357859531772569E-2</v>
      </c>
      <c r="S15" s="3">
        <v>4.0295604823026063E-2</v>
      </c>
      <c r="T15">
        <v>9.429120845745019E-2</v>
      </c>
      <c r="U15" s="3">
        <f>(T15*N15)/Sheet2!P14</f>
        <v>0.22438632421459911</v>
      </c>
      <c r="V15" s="7">
        <v>16922</v>
      </c>
      <c r="W15" s="7">
        <v>2496</v>
      </c>
      <c r="X15" s="7">
        <f t="shared" si="6"/>
        <v>19418</v>
      </c>
      <c r="Y15">
        <f t="shared" si="7"/>
        <v>1905</v>
      </c>
      <c r="Z15">
        <v>9.5768381191776598E-3</v>
      </c>
      <c r="AA15" s="12">
        <v>3.89</v>
      </c>
      <c r="AB15">
        <v>7.8915412778173266E-3</v>
      </c>
      <c r="AD15">
        <f t="shared" si="2"/>
        <v>0.26220327182265335</v>
      </c>
      <c r="AE15">
        <f t="shared" si="8"/>
        <v>3.1676838119177667E-2</v>
      </c>
      <c r="AF15">
        <f>(AD15*J15+(AE15*X14))/Sheet2!P14</f>
        <v>0.12981724220348925</v>
      </c>
      <c r="AG15">
        <f>1-AF15-Sheet4!M17</f>
        <v>0.26226235586566649</v>
      </c>
    </row>
    <row r="16" spans="1:33" x14ac:dyDescent="0.3">
      <c r="A16">
        <f t="shared" si="3"/>
        <v>1906</v>
      </c>
      <c r="B16" s="2">
        <v>60072</v>
      </c>
      <c r="C16" s="2">
        <v>53107</v>
      </c>
      <c r="D16" s="2">
        <v>2834</v>
      </c>
      <c r="E16" s="10">
        <f t="shared" si="4"/>
        <v>0.30319888734353267</v>
      </c>
      <c r="F16" s="2">
        <f t="shared" si="0"/>
        <v>50273</v>
      </c>
      <c r="G16">
        <v>74</v>
      </c>
      <c r="I16" s="2">
        <v>4344</v>
      </c>
      <c r="J16" s="2">
        <v>9347</v>
      </c>
      <c r="K16" s="2">
        <v>3911</v>
      </c>
      <c r="L16" s="2">
        <v>22864</v>
      </c>
      <c r="M16" s="2">
        <v>4010</v>
      </c>
      <c r="N16" s="2">
        <f t="shared" si="1"/>
        <v>58559</v>
      </c>
      <c r="O16" s="2">
        <v>2102</v>
      </c>
      <c r="P16" s="10">
        <f t="shared" si="5"/>
        <v>3.589542171143633E-2</v>
      </c>
      <c r="Q16" s="10">
        <v>107.5</v>
      </c>
      <c r="R16" s="10">
        <f t="shared" si="9"/>
        <v>0.11630321910695746</v>
      </c>
      <c r="S16" s="3">
        <v>3.1772423592007014E-2</v>
      </c>
      <c r="T16">
        <v>0.10243440120500601</v>
      </c>
      <c r="U16" s="3">
        <f>(T16*N16)/Sheet2!P15</f>
        <v>0.23110984781983998</v>
      </c>
      <c r="V16" s="7">
        <v>22594</v>
      </c>
      <c r="W16" s="7">
        <v>3853</v>
      </c>
      <c r="X16" s="7">
        <f t="shared" si="6"/>
        <v>26447</v>
      </c>
      <c r="Y16">
        <f t="shared" si="7"/>
        <v>1906</v>
      </c>
      <c r="Z16">
        <v>9.5127642462684101E-3</v>
      </c>
      <c r="AA16" s="12">
        <v>4</v>
      </c>
      <c r="AB16">
        <v>1.6103109466972132E-2</v>
      </c>
      <c r="AD16">
        <f t="shared" si="2"/>
        <v>0.34149098699598601</v>
      </c>
      <c r="AE16">
        <f t="shared" si="8"/>
        <v>3.2712764246268414E-2</v>
      </c>
      <c r="AF16">
        <f>(AD16*J16+(AE16*X15))/Sheet2!P15</f>
        <v>0.14745261843904919</v>
      </c>
      <c r="AG16">
        <f>1-AF16-Sheet4!M18</f>
        <v>0.23008542818009936</v>
      </c>
    </row>
    <row r="17" spans="1:33" x14ac:dyDescent="0.3">
      <c r="A17">
        <f t="shared" si="3"/>
        <v>1907</v>
      </c>
      <c r="B17" s="2">
        <v>70977</v>
      </c>
      <c r="C17" s="2">
        <v>65536</v>
      </c>
      <c r="D17" s="2">
        <v>3746</v>
      </c>
      <c r="E17" s="10">
        <f t="shared" si="4"/>
        <v>0.23203666997026759</v>
      </c>
      <c r="F17" s="2">
        <f t="shared" si="0"/>
        <v>61790</v>
      </c>
      <c r="G17">
        <v>362</v>
      </c>
      <c r="I17" s="2">
        <v>5184</v>
      </c>
      <c r="J17" s="2">
        <v>16144</v>
      </c>
      <c r="K17" s="2">
        <v>12251</v>
      </c>
      <c r="L17" s="2">
        <v>29858</v>
      </c>
      <c r="M17" s="2">
        <v>1760</v>
      </c>
      <c r="N17" s="2">
        <f t="shared" si="1"/>
        <v>78766</v>
      </c>
      <c r="O17" s="2">
        <v>9611</v>
      </c>
      <c r="P17" s="10">
        <f t="shared" si="5"/>
        <v>0.12201965314983622</v>
      </c>
      <c r="Q17" s="10">
        <v>109.2</v>
      </c>
      <c r="R17" s="10">
        <f t="shared" si="9"/>
        <v>1.5813953488372119E-2</v>
      </c>
      <c r="S17" s="3">
        <v>0.11935275563172143</v>
      </c>
      <c r="T17">
        <v>0.11209975983434388</v>
      </c>
      <c r="U17" s="3">
        <f>(T17*N17)/Sheet2!P16</f>
        <v>0.41753675145939989</v>
      </c>
      <c r="V17" s="7">
        <v>20997</v>
      </c>
      <c r="W17" s="7">
        <v>1276</v>
      </c>
      <c r="X17" s="7">
        <f t="shared" si="6"/>
        <v>22273</v>
      </c>
      <c r="Y17">
        <f t="shared" si="7"/>
        <v>1907</v>
      </c>
      <c r="Z17">
        <v>9.6712760598938654E-3</v>
      </c>
      <c r="AA17" s="12">
        <v>4.2699999999999996</v>
      </c>
      <c r="AB17">
        <v>2.3638926050073561E-2</v>
      </c>
      <c r="AD17">
        <f t="shared" si="2"/>
        <v>0.26625411766242035</v>
      </c>
      <c r="AE17">
        <f t="shared" si="8"/>
        <v>3.5571276059893867E-2</v>
      </c>
      <c r="AF17">
        <f>(AD17*J17+(AE17*X16))/Sheet2!P16</f>
        <v>0.24774956322400943</v>
      </c>
      <c r="AG17">
        <f>1-AF17-Sheet4!M19</f>
        <v>0.18668558124092649</v>
      </c>
    </row>
    <row r="18" spans="1:33" x14ac:dyDescent="0.3">
      <c r="A18">
        <f t="shared" si="3"/>
        <v>1908</v>
      </c>
      <c r="B18" s="2">
        <v>44541</v>
      </c>
      <c r="C18" s="2">
        <v>41650</v>
      </c>
      <c r="D18" s="2">
        <v>1524</v>
      </c>
      <c r="E18" s="10">
        <f t="shared" si="4"/>
        <v>8.881118881118881E-2</v>
      </c>
      <c r="F18" s="2">
        <f t="shared" si="0"/>
        <v>40126</v>
      </c>
      <c r="G18">
        <v>717</v>
      </c>
      <c r="I18" s="2">
        <v>5214</v>
      </c>
      <c r="J18" s="2">
        <v>17160</v>
      </c>
      <c r="K18" s="2">
        <v>22234</v>
      </c>
      <c r="L18" s="2">
        <v>18873</v>
      </c>
      <c r="M18" s="2">
        <v>2837</v>
      </c>
      <c r="N18" s="2">
        <f t="shared" si="1"/>
        <v>74431</v>
      </c>
      <c r="O18" s="2">
        <v>14963</v>
      </c>
      <c r="P18" s="10">
        <f t="shared" si="5"/>
        <v>0.20103182813612608</v>
      </c>
      <c r="Q18" s="10">
        <v>100.2</v>
      </c>
      <c r="R18" s="10">
        <f t="shared" si="9"/>
        <v>-8.2417582417582416E-2</v>
      </c>
      <c r="S18" s="3">
        <v>0.19365067039395351</v>
      </c>
      <c r="T18">
        <v>0.10828870794594292</v>
      </c>
      <c r="U18" s="3">
        <f>(T18*N18)/Sheet2!P17</f>
        <v>0.4735905059712367</v>
      </c>
      <c r="V18" s="7">
        <v>18394</v>
      </c>
      <c r="W18" s="7">
        <v>607</v>
      </c>
      <c r="X18" s="7">
        <f t="shared" si="6"/>
        <v>19001</v>
      </c>
      <c r="Y18">
        <f t="shared" si="7"/>
        <v>1908</v>
      </c>
      <c r="Z18">
        <v>9.8390731750072138E-3</v>
      </c>
      <c r="AA18" s="12">
        <v>4.22</v>
      </c>
      <c r="AB18">
        <v>1.9046215435482239E-2</v>
      </c>
      <c r="AD18">
        <f t="shared" si="2"/>
        <v>0.12349556358589298</v>
      </c>
      <c r="AE18">
        <f t="shared" si="8"/>
        <v>3.5239073175007213E-2</v>
      </c>
      <c r="AF18">
        <f>(AD18*J18+(AE18*X17))/Sheet2!P17</f>
        <v>0.17063656783364822</v>
      </c>
      <c r="AG18">
        <f>1-AF18-Sheet4!M20</f>
        <v>8.8779379049247376E-2</v>
      </c>
    </row>
    <row r="19" spans="1:33" x14ac:dyDescent="0.3">
      <c r="A19">
        <f t="shared" si="3"/>
        <v>1909</v>
      </c>
      <c r="B19" s="2">
        <v>51657</v>
      </c>
      <c r="C19" s="2">
        <v>46951</v>
      </c>
      <c r="D19" s="2">
        <v>2448</v>
      </c>
      <c r="E19" s="10">
        <f t="shared" si="4"/>
        <v>0.16942348951484532</v>
      </c>
      <c r="F19" s="2">
        <f t="shared" si="0"/>
        <v>44503</v>
      </c>
      <c r="G19">
        <v>658</v>
      </c>
      <c r="I19" s="2">
        <v>5214</v>
      </c>
      <c r="J19" s="2">
        <v>14449</v>
      </c>
      <c r="K19" s="2">
        <v>17623</v>
      </c>
      <c r="L19" s="2">
        <v>19378</v>
      </c>
      <c r="M19" s="2">
        <v>2754</v>
      </c>
      <c r="N19" s="2">
        <f t="shared" si="1"/>
        <v>74308</v>
      </c>
      <c r="O19" s="2">
        <v>14962</v>
      </c>
      <c r="P19" s="10">
        <f t="shared" si="5"/>
        <v>0.20135113312160199</v>
      </c>
      <c r="Q19" s="10">
        <v>116.8</v>
      </c>
      <c r="R19" s="10">
        <f t="shared" si="9"/>
        <v>0.16566866267465064</v>
      </c>
      <c r="S19" s="3">
        <v>0.18676586236596723</v>
      </c>
      <c r="T19">
        <v>0.10334595122701487</v>
      </c>
      <c r="U19" s="3">
        <f>(T19*N19)/Sheet2!P18</f>
        <v>0.3056611584053901</v>
      </c>
      <c r="V19" s="7">
        <v>25150</v>
      </c>
      <c r="W19" s="7">
        <v>462</v>
      </c>
      <c r="X19" s="7">
        <f t="shared" si="6"/>
        <v>25612</v>
      </c>
      <c r="Y19">
        <f t="shared" si="7"/>
        <v>1909</v>
      </c>
      <c r="Z19">
        <v>9.8170332494770269E-3</v>
      </c>
      <c r="AA19" s="12">
        <v>4.07</v>
      </c>
      <c r="AB19">
        <v>1.4506416300434033E-2</v>
      </c>
      <c r="AD19">
        <f t="shared" si="2"/>
        <v>0.20789183413386289</v>
      </c>
      <c r="AE19">
        <f t="shared" si="8"/>
        <v>3.371703324947703E-2</v>
      </c>
      <c r="AF19">
        <f>(AD19*J19+(AE19*X18))/Sheet2!P18</f>
        <v>0.14505996100037805</v>
      </c>
      <c r="AG19">
        <f>1-AF19-Sheet4!M21</f>
        <v>0.13968769064744879</v>
      </c>
    </row>
    <row r="20" spans="1:33" x14ac:dyDescent="0.3">
      <c r="A20">
        <f t="shared" si="3"/>
        <v>1910</v>
      </c>
      <c r="B20" s="2">
        <v>71479</v>
      </c>
      <c r="C20" s="2">
        <v>63135</v>
      </c>
      <c r="D20" s="2">
        <v>4661</v>
      </c>
      <c r="E20" s="10">
        <f t="shared" si="4"/>
        <v>0.25103678569505034</v>
      </c>
      <c r="F20" s="2">
        <f t="shared" si="0"/>
        <v>58474</v>
      </c>
      <c r="G20">
        <v>717</v>
      </c>
      <c r="I20" s="2">
        <v>5214</v>
      </c>
      <c r="J20" s="2">
        <v>18567</v>
      </c>
      <c r="K20" s="2">
        <v>14912</v>
      </c>
      <c r="L20" s="2">
        <v>19048</v>
      </c>
      <c r="M20" s="2">
        <v>2796</v>
      </c>
      <c r="N20" s="2">
        <f t="shared" si="1"/>
        <v>78381</v>
      </c>
      <c r="O20" s="2">
        <v>14962</v>
      </c>
      <c r="P20" s="10">
        <f t="shared" si="5"/>
        <v>0.19088809788086397</v>
      </c>
      <c r="Q20" s="10">
        <v>120.1</v>
      </c>
      <c r="R20" s="10">
        <f t="shared" si="9"/>
        <v>2.8253424657534224E-2</v>
      </c>
      <c r="S20" s="3">
        <v>0.17790725326991677</v>
      </c>
      <c r="T20">
        <v>0.10082904134108053</v>
      </c>
      <c r="U20" s="3">
        <f>(T20*N20)/Sheet2!P19</f>
        <v>0.23356329134838294</v>
      </c>
      <c r="V20" s="7">
        <v>28060</v>
      </c>
      <c r="W20" s="7">
        <v>590</v>
      </c>
      <c r="X20" s="7">
        <f t="shared" si="6"/>
        <v>28650</v>
      </c>
      <c r="Y20">
        <f t="shared" si="7"/>
        <v>1910</v>
      </c>
      <c r="Z20">
        <v>9.7181662757020518E-3</v>
      </c>
      <c r="AA20" s="12">
        <v>4.18</v>
      </c>
      <c r="AB20">
        <v>1.0245488265542946E-2</v>
      </c>
      <c r="AD20">
        <f t="shared" si="2"/>
        <v>0.29488145814726768</v>
      </c>
      <c r="AE20">
        <f t="shared" si="8"/>
        <v>3.4718166275702053E-2</v>
      </c>
      <c r="AF20">
        <f>(AD20*J20+(AE20*X19))/Sheet2!P19</f>
        <v>0.18808599190453054</v>
      </c>
      <c r="AG20">
        <f>1-AF20-Sheet4!M22</f>
        <v>0.19625659165784193</v>
      </c>
    </row>
    <row r="21" spans="1:33" x14ac:dyDescent="0.3">
      <c r="A21">
        <f t="shared" si="3"/>
        <v>1911</v>
      </c>
      <c r="B21" s="2">
        <v>70384</v>
      </c>
      <c r="C21" s="2">
        <v>62461</v>
      </c>
      <c r="D21" s="2">
        <v>3114</v>
      </c>
      <c r="E21" s="10">
        <f t="shared" si="4"/>
        <v>0.15580127082603693</v>
      </c>
      <c r="F21" s="2">
        <f t="shared" si="0"/>
        <v>59347</v>
      </c>
      <c r="G21">
        <v>596</v>
      </c>
      <c r="I21" s="2">
        <v>5806</v>
      </c>
      <c r="J21" s="2">
        <v>19987</v>
      </c>
      <c r="K21" s="2">
        <v>17899</v>
      </c>
      <c r="L21" s="2">
        <v>19084</v>
      </c>
      <c r="M21" s="2">
        <v>4305</v>
      </c>
      <c r="N21" s="2">
        <f t="shared" si="1"/>
        <v>79495</v>
      </c>
      <c r="O21" s="2">
        <v>9858</v>
      </c>
      <c r="P21" s="10">
        <f t="shared" si="5"/>
        <v>0.12400779923265615</v>
      </c>
      <c r="Q21" s="10">
        <v>123.2</v>
      </c>
      <c r="R21" s="10">
        <f t="shared" si="9"/>
        <v>2.5811823480433045E-2</v>
      </c>
      <c r="S21" s="3">
        <v>0.11371422639028272</v>
      </c>
      <c r="T21">
        <v>9.7684254024747716E-2</v>
      </c>
      <c r="U21" s="3">
        <f>(T21*N21)/Sheet2!P20</f>
        <v>0.21016562758660098</v>
      </c>
      <c r="V21" s="7">
        <v>26430</v>
      </c>
      <c r="W21" s="7">
        <v>400</v>
      </c>
      <c r="X21" s="7">
        <f t="shared" si="6"/>
        <v>26830</v>
      </c>
      <c r="Y21">
        <f t="shared" si="7"/>
        <v>1911</v>
      </c>
      <c r="Z21">
        <v>9.6728137730104705E-3</v>
      </c>
      <c r="AA21" s="12">
        <v>4.1900000000000004</v>
      </c>
      <c r="AB21">
        <v>6.9860341259362357E-3</v>
      </c>
      <c r="AD21">
        <f t="shared" si="2"/>
        <v>0.20147648346796609</v>
      </c>
      <c r="AE21">
        <f t="shared" si="8"/>
        <v>3.4772813773010475E-2</v>
      </c>
      <c r="AF21">
        <f>(AD21*J21+(AE21*X20))/Sheet2!P20</f>
        <v>0.1359482418920942</v>
      </c>
      <c r="AG21">
        <f>1-AF21-Sheet4!M23</f>
        <v>0.16276078947546646</v>
      </c>
    </row>
    <row r="22" spans="1:33" x14ac:dyDescent="0.3">
      <c r="A22">
        <f t="shared" si="3"/>
        <v>1912</v>
      </c>
      <c r="B22" s="2">
        <v>89182</v>
      </c>
      <c r="C22" s="2">
        <v>81074</v>
      </c>
      <c r="D22" s="2">
        <v>4046</v>
      </c>
      <c r="E22" s="10">
        <f t="shared" si="4"/>
        <v>0.15482932802694016</v>
      </c>
      <c r="F22" s="2">
        <f t="shared" si="0"/>
        <v>77028</v>
      </c>
      <c r="G22">
        <v>532</v>
      </c>
      <c r="I22" s="2">
        <v>6213</v>
      </c>
      <c r="J22" s="2">
        <v>26132</v>
      </c>
      <c r="K22" s="2">
        <v>13507</v>
      </c>
      <c r="L22" s="2">
        <v>26950</v>
      </c>
      <c r="M22" s="2">
        <v>4141</v>
      </c>
      <c r="N22" s="2">
        <f t="shared" si="1"/>
        <v>100377</v>
      </c>
      <c r="O22" s="2">
        <v>7293</v>
      </c>
      <c r="P22" s="10">
        <f t="shared" si="5"/>
        <v>7.2656086553692573E-2</v>
      </c>
      <c r="Q22" s="10">
        <v>130.19999999999999</v>
      </c>
      <c r="R22" s="10">
        <f t="shared" si="9"/>
        <v>5.6818181818181698E-2</v>
      </c>
      <c r="S22" s="3">
        <v>6.7144185532651432E-2</v>
      </c>
      <c r="T22">
        <v>0.10131987917937288</v>
      </c>
      <c r="U22" s="3">
        <f>(T22*N22)/Sheet2!P21</f>
        <v>0.2092200269983113</v>
      </c>
      <c r="V22" s="7">
        <v>37243</v>
      </c>
      <c r="W22" s="7">
        <v>686</v>
      </c>
      <c r="X22" s="7">
        <f t="shared" si="6"/>
        <v>37929</v>
      </c>
      <c r="Y22">
        <f t="shared" si="7"/>
        <v>1912</v>
      </c>
      <c r="Z22">
        <v>9.6957170427195653E-3</v>
      </c>
      <c r="AA22" s="12">
        <v>4.2300000000000004</v>
      </c>
      <c r="AB22">
        <v>1.0376972359572134E-2</v>
      </c>
      <c r="AD22">
        <f t="shared" si="2"/>
        <v>0.19805473236747428</v>
      </c>
      <c r="AE22">
        <f t="shared" si="8"/>
        <v>3.5195717042719565E-2</v>
      </c>
      <c r="AF22">
        <f>(AD22*J22+(AE22*X21))/Sheet2!P21</f>
        <v>0.12589729180174869</v>
      </c>
      <c r="AG22">
        <f>1-AF22-Sheet4!M24</f>
        <v>0.12413356604643067</v>
      </c>
    </row>
    <row r="23" spans="1:33" x14ac:dyDescent="0.3">
      <c r="A23">
        <f t="shared" si="3"/>
        <v>1913</v>
      </c>
      <c r="B23" s="2">
        <v>106477</v>
      </c>
      <c r="C23" s="2">
        <v>96602</v>
      </c>
      <c r="D23" s="2">
        <v>6502</v>
      </c>
      <c r="E23" s="10">
        <f t="shared" si="4"/>
        <v>0.2132782260709834</v>
      </c>
      <c r="F23" s="2">
        <f t="shared" si="0"/>
        <v>90100</v>
      </c>
      <c r="G23" s="2">
        <v>614</v>
      </c>
      <c r="I23" s="2">
        <v>8149</v>
      </c>
      <c r="J23" s="2">
        <v>30486</v>
      </c>
      <c r="K23" s="2">
        <v>14844</v>
      </c>
      <c r="L23" s="2">
        <v>26210</v>
      </c>
      <c r="M23" s="2">
        <v>2847</v>
      </c>
      <c r="N23" s="2">
        <f t="shared" si="1"/>
        <v>108497</v>
      </c>
      <c r="O23" s="2">
        <v>20152</v>
      </c>
      <c r="P23" s="10">
        <f t="shared" si="5"/>
        <v>0.18573785450288949</v>
      </c>
      <c r="Q23" s="10">
        <v>131.4</v>
      </c>
      <c r="R23" s="10">
        <f t="shared" si="9"/>
        <v>9.2165898617512839E-3</v>
      </c>
      <c r="S23" s="3">
        <v>0.17054696558086002</v>
      </c>
      <c r="T23">
        <v>0.10691237989454856</v>
      </c>
      <c r="U23" s="3">
        <f>(T23*N23)/Sheet2!P22</f>
        <v>0.21105279164168839</v>
      </c>
      <c r="V23" s="7">
        <v>37791</v>
      </c>
      <c r="W23" s="7">
        <v>2013</v>
      </c>
      <c r="X23" s="7">
        <f t="shared" si="6"/>
        <v>39804</v>
      </c>
      <c r="Y23">
        <f t="shared" si="7"/>
        <v>1913</v>
      </c>
      <c r="Z23">
        <v>9.8098589174041087E-3</v>
      </c>
      <c r="AA23" s="12">
        <v>4.4400000000000004</v>
      </c>
      <c r="AB23">
        <v>1.4153642726635773E-2</v>
      </c>
      <c r="AD23">
        <f t="shared" si="2"/>
        <v>0.25635310607493106</v>
      </c>
      <c r="AE23">
        <f t="shared" si="8"/>
        <v>3.7409858917404115E-2</v>
      </c>
      <c r="AF23">
        <f>(AD23*J23+(AE23*X22))/Sheet2!P22</f>
        <v>0.16801185077925379</v>
      </c>
      <c r="AG23">
        <f>1-AF23-Sheet4!M25</f>
        <v>0.12996307689673459</v>
      </c>
    </row>
    <row r="24" spans="1:33" x14ac:dyDescent="0.3">
      <c r="A24">
        <f t="shared" si="3"/>
        <v>1914</v>
      </c>
      <c r="B24" s="2">
        <v>90468</v>
      </c>
      <c r="C24" s="2">
        <v>81497</v>
      </c>
      <c r="D24" s="2">
        <v>4371</v>
      </c>
      <c r="E24" s="10">
        <f t="shared" si="4"/>
        <v>0.13686748496993989</v>
      </c>
      <c r="F24" s="2">
        <f t="shared" si="0"/>
        <v>77126</v>
      </c>
      <c r="G24">
        <v>568</v>
      </c>
      <c r="I24" s="2">
        <v>8143</v>
      </c>
      <c r="J24" s="2">
        <v>31936</v>
      </c>
      <c r="K24" s="2">
        <v>22529</v>
      </c>
      <c r="L24" s="2">
        <v>19091</v>
      </c>
      <c r="M24" s="2">
        <v>1655</v>
      </c>
      <c r="N24" s="2">
        <f t="shared" si="1"/>
        <v>102037</v>
      </c>
      <c r="O24" s="2">
        <v>12067</v>
      </c>
      <c r="P24" s="10">
        <f t="shared" si="5"/>
        <v>0.11826102296225879</v>
      </c>
      <c r="Q24" s="10">
        <v>125.6</v>
      </c>
      <c r="R24" s="10">
        <f t="shared" si="9"/>
        <v>-4.4140030441400392E-2</v>
      </c>
      <c r="S24" s="3">
        <v>0.11095989921931752</v>
      </c>
      <c r="T24">
        <v>0.10368151638377328</v>
      </c>
      <c r="U24" s="3">
        <f>(T24*N24)/Sheet2!P23</f>
        <v>0.25262311684538596</v>
      </c>
      <c r="V24" s="7">
        <v>29293</v>
      </c>
      <c r="W24" s="7">
        <v>843</v>
      </c>
      <c r="X24" s="7">
        <f t="shared" si="6"/>
        <v>30136</v>
      </c>
      <c r="Y24">
        <f t="shared" si="7"/>
        <v>1914</v>
      </c>
      <c r="Z24">
        <v>9.8302403003237039E-3</v>
      </c>
      <c r="AA24" s="12">
        <v>4.4400000000000004</v>
      </c>
      <c r="AB24">
        <v>1.0562108809301307E-2</v>
      </c>
      <c r="AD24">
        <f t="shared" si="2"/>
        <v>0.18198122572967018</v>
      </c>
      <c r="AE24">
        <f t="shared" si="8"/>
        <v>3.7430240300323714E-2</v>
      </c>
      <c r="AF24">
        <f>(AD24*J24+(AE24*X23))/Sheet2!P23</f>
        <v>0.17435469004768211</v>
      </c>
      <c r="AG24">
        <f>1-AF24-Sheet4!M26</f>
        <v>0.14423741081673358</v>
      </c>
    </row>
    <row r="25" spans="1:33" x14ac:dyDescent="0.3">
      <c r="A25">
        <f t="shared" si="3"/>
        <v>1915</v>
      </c>
      <c r="B25" s="2">
        <v>85522</v>
      </c>
      <c r="C25" s="2">
        <v>76898</v>
      </c>
      <c r="D25" s="2">
        <v>5985</v>
      </c>
      <c r="E25" s="10">
        <f t="shared" si="4"/>
        <v>0.19584424083769633</v>
      </c>
      <c r="F25" s="2">
        <f t="shared" si="0"/>
        <v>70913</v>
      </c>
      <c r="G25">
        <v>570</v>
      </c>
      <c r="I25" s="2">
        <v>8130</v>
      </c>
      <c r="J25" s="2">
        <v>30560</v>
      </c>
      <c r="K25" s="2">
        <v>30139</v>
      </c>
      <c r="L25" s="2">
        <v>19619</v>
      </c>
      <c r="M25" s="2">
        <v>4640</v>
      </c>
      <c r="N25" s="2">
        <f t="shared" si="1"/>
        <v>106790</v>
      </c>
      <c r="O25" s="2">
        <v>12049</v>
      </c>
      <c r="P25" s="10">
        <f t="shared" si="5"/>
        <v>0.11282891656522147</v>
      </c>
      <c r="Q25" s="10">
        <v>124.5</v>
      </c>
      <c r="R25" s="10">
        <f t="shared" si="9"/>
        <v>-8.7579617834394451E-3</v>
      </c>
      <c r="S25" s="3">
        <v>0.10354754988742029</v>
      </c>
      <c r="T25">
        <v>0.10190926604565351</v>
      </c>
      <c r="U25" s="3">
        <f>(T25*N25)/Sheet2!P24</f>
        <v>0.2252253832991585</v>
      </c>
      <c r="V25" s="7">
        <v>29863</v>
      </c>
      <c r="W25" s="7">
        <v>1249</v>
      </c>
      <c r="X25" s="7">
        <f t="shared" si="6"/>
        <v>31112</v>
      </c>
      <c r="Y25">
        <f t="shared" si="7"/>
        <v>1915</v>
      </c>
      <c r="Z25">
        <v>9.2814083671263412E-3</v>
      </c>
      <c r="AA25" s="12">
        <v>4.62</v>
      </c>
      <c r="AB25">
        <v>7.511484756114184E-3</v>
      </c>
      <c r="AD25">
        <f t="shared" si="2"/>
        <v>0.24528524547833364</v>
      </c>
      <c r="AE25">
        <f t="shared" si="8"/>
        <v>3.8681408367126344E-2</v>
      </c>
      <c r="AF25">
        <f>(AD25*J25+(AE25*X24))/Sheet2!P24</f>
        <v>0.17925538129903962</v>
      </c>
      <c r="AG25">
        <f>1-AF25-Sheet4!M27</f>
        <v>0.12308319485990082</v>
      </c>
    </row>
    <row r="26" spans="1:33" x14ac:dyDescent="0.3">
      <c r="A26">
        <f t="shared" si="3"/>
        <v>1916</v>
      </c>
      <c r="B26" s="2">
        <v>134242</v>
      </c>
      <c r="C26" s="2">
        <v>118948</v>
      </c>
      <c r="D26" s="2">
        <v>8828</v>
      </c>
      <c r="E26" s="10">
        <f t="shared" si="4"/>
        <v>0.28692147685907438</v>
      </c>
      <c r="F26" s="2">
        <f t="shared" si="0"/>
        <v>110120</v>
      </c>
      <c r="G26">
        <v>571</v>
      </c>
      <c r="H26" s="2">
        <v>7856</v>
      </c>
      <c r="I26" s="2">
        <v>8121</v>
      </c>
      <c r="J26" s="2">
        <v>30768</v>
      </c>
      <c r="K26" s="2">
        <v>12168</v>
      </c>
      <c r="L26" s="2">
        <v>26816</v>
      </c>
      <c r="M26" s="2">
        <v>7875</v>
      </c>
      <c r="N26" s="2">
        <f t="shared" si="1"/>
        <v>117234</v>
      </c>
      <c r="O26" s="2">
        <v>12048</v>
      </c>
      <c r="P26" s="10">
        <f t="shared" si="5"/>
        <v>0.10276882133169558</v>
      </c>
      <c r="Q26" s="10">
        <v>134.30000000000001</v>
      </c>
      <c r="R26" s="10">
        <f t="shared" si="9"/>
        <v>7.8714859437751097E-2</v>
      </c>
      <c r="S26" s="3">
        <v>9.2785410633972026E-2</v>
      </c>
      <c r="T26">
        <v>0.1122224425373161</v>
      </c>
      <c r="U26" s="3">
        <f>(T26*N26)/Sheet2!P25</f>
        <v>0.17673915324520367</v>
      </c>
      <c r="V26" s="7">
        <v>51161</v>
      </c>
      <c r="W26" s="7">
        <v>4196</v>
      </c>
      <c r="X26" s="7">
        <f t="shared" si="6"/>
        <v>55357</v>
      </c>
      <c r="Y26">
        <f t="shared" si="7"/>
        <v>1916</v>
      </c>
      <c r="Z26">
        <v>8.3986022280893944E-3</v>
      </c>
      <c r="AA26" s="12">
        <v>4.49</v>
      </c>
      <c r="AB26">
        <v>1.55E-2</v>
      </c>
      <c r="AD26">
        <f t="shared" si="2"/>
        <v>0.32916736197847946</v>
      </c>
      <c r="AE26">
        <f t="shared" si="8"/>
        <v>3.64986022280894E-2</v>
      </c>
      <c r="AF26">
        <f>(AD26*J26+(AE26*X25))/Sheet2!P25</f>
        <v>0.15131001096030539</v>
      </c>
      <c r="AG26">
        <f>1-AF26-Sheet4!M28</f>
        <v>0.17274055393175392</v>
      </c>
    </row>
    <row r="27" spans="1:33" x14ac:dyDescent="0.3">
      <c r="A27">
        <f t="shared" si="3"/>
        <v>1917</v>
      </c>
      <c r="B27" s="2">
        <v>196926</v>
      </c>
      <c r="C27" s="2">
        <v>167922</v>
      </c>
      <c r="D27" s="2">
        <v>13288</v>
      </c>
      <c r="E27" s="10">
        <f t="shared" si="4"/>
        <v>0.33443233584174364</v>
      </c>
      <c r="F27" s="2">
        <f t="shared" si="0"/>
        <v>154634</v>
      </c>
      <c r="G27">
        <v>1113</v>
      </c>
      <c r="H27" s="2">
        <v>7290</v>
      </c>
      <c r="I27" s="2">
        <v>11166</v>
      </c>
      <c r="J27" s="2">
        <v>39733</v>
      </c>
      <c r="K27" s="2">
        <v>21191</v>
      </c>
      <c r="L27" s="2">
        <v>38407</v>
      </c>
      <c r="M27" s="2">
        <v>8010</v>
      </c>
      <c r="N27" s="2">
        <f t="shared" si="1"/>
        <v>179417</v>
      </c>
      <c r="O27" s="2">
        <v>27306</v>
      </c>
      <c r="P27" s="10">
        <f t="shared" si="5"/>
        <v>0.15219293600940825</v>
      </c>
      <c r="Q27" s="10">
        <v>135.19999999999999</v>
      </c>
      <c r="R27" s="10">
        <f t="shared" si="9"/>
        <v>6.7014147431122646E-3</v>
      </c>
      <c r="S27" s="3">
        <v>0.14054899861540757</v>
      </c>
      <c r="T27">
        <v>0.11555524632112534</v>
      </c>
      <c r="U27" s="3">
        <f>(T27*N27)/Sheet2!P26</f>
        <v>0.19421434580657179</v>
      </c>
      <c r="V27" s="7">
        <v>81851</v>
      </c>
      <c r="W27" s="7">
        <v>6245</v>
      </c>
      <c r="X27" s="7">
        <f t="shared" si="6"/>
        <v>88096</v>
      </c>
      <c r="Y27">
        <f t="shared" si="7"/>
        <v>1917</v>
      </c>
      <c r="Z27">
        <v>7.8182017082386538E-3</v>
      </c>
      <c r="AA27" s="12">
        <v>4.79</v>
      </c>
      <c r="AB27">
        <v>1.55E-2</v>
      </c>
      <c r="AD27">
        <f t="shared" si="2"/>
        <v>0.37983423875552935</v>
      </c>
      <c r="AE27">
        <f t="shared" si="8"/>
        <v>3.8918201708238648E-2</v>
      </c>
      <c r="AF27">
        <f>(AD27*J27+(AE27*X26))/Sheet2!P26</f>
        <v>0.16155678823089634</v>
      </c>
      <c r="AG27">
        <f>1-AF27-Sheet4!M29</f>
        <v>0.23461748648315783</v>
      </c>
    </row>
    <row r="28" spans="1:33" x14ac:dyDescent="0.3">
      <c r="A28">
        <f t="shared" si="3"/>
        <v>1918</v>
      </c>
      <c r="B28" s="2">
        <v>216815</v>
      </c>
      <c r="C28" s="2">
        <v>188440</v>
      </c>
      <c r="D28" s="2">
        <v>15224</v>
      </c>
      <c r="E28" s="10">
        <f t="shared" si="4"/>
        <v>0.32406658435863595</v>
      </c>
      <c r="F28" s="2">
        <f t="shared" si="0"/>
        <v>173216</v>
      </c>
      <c r="G28">
        <v>2377</v>
      </c>
      <c r="H28" s="2">
        <v>13500</v>
      </c>
      <c r="I28" s="2">
        <v>9166</v>
      </c>
      <c r="J28" s="2">
        <v>46978</v>
      </c>
      <c r="K28" s="2">
        <v>24010</v>
      </c>
      <c r="L28" s="2">
        <v>41549</v>
      </c>
      <c r="M28" s="2">
        <v>9716</v>
      </c>
      <c r="N28" s="2">
        <f t="shared" si="1"/>
        <v>197653</v>
      </c>
      <c r="O28" s="2">
        <v>41334</v>
      </c>
      <c r="P28" s="10">
        <f t="shared" si="5"/>
        <v>0.20912407097286659</v>
      </c>
      <c r="Q28" s="10">
        <v>151.80000000000001</v>
      </c>
      <c r="R28" s="10">
        <f t="shared" si="9"/>
        <v>0.12278106508875758</v>
      </c>
      <c r="S28" s="3">
        <v>0.18186618091579879</v>
      </c>
      <c r="T28">
        <v>0.11999106716432259</v>
      </c>
      <c r="U28" s="3">
        <f>(T28*N28)/Sheet2!P27</f>
        <v>0.19234401756834668</v>
      </c>
      <c r="V28" s="7">
        <v>88306</v>
      </c>
      <c r="W28" s="7">
        <v>6526</v>
      </c>
      <c r="X28" s="7">
        <f t="shared" si="6"/>
        <v>94832</v>
      </c>
      <c r="Y28">
        <f t="shared" si="7"/>
        <v>1918</v>
      </c>
      <c r="Z28">
        <v>7.877995308555109E-3</v>
      </c>
      <c r="AA28" s="12">
        <v>5.23</v>
      </c>
      <c r="AB28">
        <v>1.55E-2</v>
      </c>
      <c r="AD28">
        <f t="shared" si="2"/>
        <v>0.37376761172474993</v>
      </c>
      <c r="AE28">
        <f t="shared" si="8"/>
        <v>4.3377995308555115E-2</v>
      </c>
      <c r="AF28">
        <f>(AD28*J28+(AE28*X27))/Sheet2!P27</f>
        <v>0.17339628993866957</v>
      </c>
      <c r="AG28">
        <f>1-AF28-Sheet4!M30</f>
        <v>0.18019608007665844</v>
      </c>
    </row>
    <row r="29" spans="1:33" x14ac:dyDescent="0.3">
      <c r="A29">
        <f t="shared" si="3"/>
        <v>1919</v>
      </c>
      <c r="B29" s="2">
        <v>229980</v>
      </c>
      <c r="C29" s="2">
        <v>196856</v>
      </c>
      <c r="D29" s="2">
        <v>7689</v>
      </c>
      <c r="E29" s="10">
        <f t="shared" si="4"/>
        <v>0.1429394705532421</v>
      </c>
      <c r="F29" s="2">
        <f t="shared" si="0"/>
        <v>189167</v>
      </c>
      <c r="G29">
        <v>2277</v>
      </c>
      <c r="H29" s="2">
        <v>11000</v>
      </c>
      <c r="I29" s="2">
        <v>9545</v>
      </c>
      <c r="J29" s="2">
        <v>53792</v>
      </c>
      <c r="K29" s="2">
        <v>30994</v>
      </c>
      <c r="L29" s="2">
        <v>45886</v>
      </c>
      <c r="M29" s="2">
        <v>12996</v>
      </c>
      <c r="N29" s="2">
        <f t="shared" si="1"/>
        <v>206628</v>
      </c>
      <c r="O29" s="2">
        <v>39979</v>
      </c>
      <c r="P29" s="10">
        <f t="shared" si="5"/>
        <v>0.19348297423388891</v>
      </c>
      <c r="Q29" s="10">
        <v>146.4</v>
      </c>
      <c r="R29" s="10">
        <f t="shared" si="9"/>
        <v>-3.5573122529644306E-2</v>
      </c>
      <c r="S29" s="3">
        <v>0.17721266494975599</v>
      </c>
      <c r="T29">
        <v>0.12010529679058314</v>
      </c>
      <c r="U29" s="3">
        <f>(T29*N29)/Sheet2!P28</f>
        <v>0.17843643103834897</v>
      </c>
      <c r="V29" s="7">
        <v>83978</v>
      </c>
      <c r="W29" s="7">
        <v>4974</v>
      </c>
      <c r="X29" s="7">
        <f t="shared" si="6"/>
        <v>88952</v>
      </c>
      <c r="Y29">
        <f t="shared" si="7"/>
        <v>1919</v>
      </c>
      <c r="Z29">
        <v>8.1691023637139783E-3</v>
      </c>
      <c r="AA29" s="12">
        <v>5.29</v>
      </c>
      <c r="AB29">
        <v>1.55E-2</v>
      </c>
      <c r="AD29">
        <f t="shared" si="2"/>
        <v>0.19072413471053135</v>
      </c>
      <c r="AE29">
        <f t="shared" si="8"/>
        <v>4.426910236371398E-2</v>
      </c>
      <c r="AF29">
        <f>(AD29*J29+(AE29*X28))/Sheet2!P28</f>
        <v>0.10395064868461275</v>
      </c>
      <c r="AG29">
        <f>1-AF29-Sheet4!M31</f>
        <v>0.18949705445240805</v>
      </c>
    </row>
    <row r="30" spans="1:33" x14ac:dyDescent="0.3">
      <c r="A30">
        <f t="shared" si="3"/>
        <v>1920</v>
      </c>
      <c r="B30" s="2">
        <v>275758</v>
      </c>
      <c r="C30" s="2">
        <v>231494</v>
      </c>
      <c r="D30" s="2">
        <v>15579</v>
      </c>
      <c r="E30" s="10">
        <f t="shared" si="4"/>
        <v>0.22189462889373157</v>
      </c>
      <c r="F30" s="2">
        <f t="shared" si="0"/>
        <v>215915</v>
      </c>
      <c r="G30">
        <v>4288</v>
      </c>
      <c r="H30" s="2">
        <v>9000</v>
      </c>
      <c r="I30" s="2">
        <v>10656</v>
      </c>
      <c r="J30" s="2">
        <v>70209</v>
      </c>
      <c r="K30" s="2">
        <v>33241</v>
      </c>
      <c r="L30" s="2">
        <v>64963</v>
      </c>
      <c r="M30" s="2">
        <v>17027</v>
      </c>
      <c r="N30" s="2">
        <f t="shared" si="1"/>
        <v>275039</v>
      </c>
      <c r="O30" s="2">
        <v>68478</v>
      </c>
      <c r="P30" s="10">
        <f t="shared" si="5"/>
        <v>0.24897559982402495</v>
      </c>
      <c r="Q30" s="10">
        <v>140</v>
      </c>
      <c r="R30" s="10">
        <f t="shared" si="9"/>
        <v>-4.3715846994535554E-2</v>
      </c>
      <c r="S30" s="3">
        <v>0.22013623899367027</v>
      </c>
      <c r="T30">
        <v>0.12491930781684056</v>
      </c>
      <c r="U30" s="3">
        <f>(T30*N30)/Sheet2!P29</f>
        <v>0.17370617580593029</v>
      </c>
      <c r="V30" s="7">
        <v>118109</v>
      </c>
      <c r="W30" s="7">
        <v>5544</v>
      </c>
      <c r="X30" s="7">
        <f t="shared" si="6"/>
        <v>123653</v>
      </c>
      <c r="Y30">
        <f t="shared" si="7"/>
        <v>1920</v>
      </c>
      <c r="Z30">
        <v>9.1381447208428133E-3</v>
      </c>
      <c r="AA30" s="12">
        <v>5.81</v>
      </c>
      <c r="AB30">
        <v>1.55E-2</v>
      </c>
      <c r="AD30">
        <f t="shared" si="2"/>
        <v>0.27707214036242722</v>
      </c>
      <c r="AE30">
        <f t="shared" si="8"/>
        <v>5.043814472084282E-2</v>
      </c>
      <c r="AF30">
        <f>(AD30*J30+(AE30*X29))/Sheet2!P29</f>
        <v>0.12103390942984867</v>
      </c>
      <c r="AG30">
        <f>1-AF30-Sheet4!M32</f>
        <v>0.18152139186301486</v>
      </c>
    </row>
    <row r="31" spans="1:33" x14ac:dyDescent="0.3">
      <c r="A31">
        <f t="shared" si="3"/>
        <v>1921</v>
      </c>
      <c r="B31" s="2">
        <v>221008</v>
      </c>
      <c r="C31" s="2">
        <v>191332</v>
      </c>
      <c r="D31" s="2">
        <v>8487</v>
      </c>
      <c r="E31" s="10">
        <f t="shared" si="4"/>
        <v>0.11967173818017739</v>
      </c>
      <c r="F31" s="2">
        <f t="shared" si="0"/>
        <v>182845</v>
      </c>
      <c r="G31">
        <v>2803</v>
      </c>
      <c r="H31" s="2">
        <v>7999</v>
      </c>
      <c r="I31" s="2">
        <v>13410</v>
      </c>
      <c r="J31" s="2">
        <v>70919</v>
      </c>
      <c r="K31" s="2">
        <v>39889</v>
      </c>
      <c r="L31" s="2">
        <v>52515</v>
      </c>
      <c r="M31" s="2">
        <v>9495</v>
      </c>
      <c r="N31" s="2">
        <f t="shared" si="1"/>
        <v>225591</v>
      </c>
      <c r="O31" s="2">
        <v>45229</v>
      </c>
      <c r="P31" s="10">
        <f t="shared" si="5"/>
        <v>0.20049115434569642</v>
      </c>
      <c r="Q31" s="10">
        <v>127.8</v>
      </c>
      <c r="R31" s="10">
        <f t="shared" si="9"/>
        <v>-8.7142857142857161E-2</v>
      </c>
      <c r="S31" s="3">
        <v>0.17135572158152362</v>
      </c>
      <c r="T31">
        <v>0.12273740873593528</v>
      </c>
      <c r="U31" s="3">
        <f>(T31*N31)/Sheet2!P30</f>
        <v>0.23010001070326738</v>
      </c>
      <c r="V31" s="7">
        <v>64848</v>
      </c>
      <c r="W31" s="7">
        <v>6915</v>
      </c>
      <c r="X31" s="7">
        <f t="shared" si="6"/>
        <v>71763</v>
      </c>
      <c r="Y31">
        <f t="shared" si="7"/>
        <v>1921</v>
      </c>
      <c r="Z31">
        <v>1.0736141166251946E-2</v>
      </c>
      <c r="AA31" s="12">
        <v>5.57</v>
      </c>
      <c r="AB31">
        <v>1.55E-2</v>
      </c>
      <c r="AD31">
        <f t="shared" si="2"/>
        <v>0.17246279128822209</v>
      </c>
      <c r="AE31">
        <f t="shared" si="8"/>
        <v>4.9636141166251951E-2</v>
      </c>
      <c r="AF31">
        <f>(AD31*J31+(AE31*X30))/Sheet2!P30</f>
        <v>0.15264855952761841</v>
      </c>
      <c r="AG31">
        <f>1-AF31-Sheet4!M33</f>
        <v>0.16449830836721102</v>
      </c>
    </row>
    <row r="32" spans="1:33" x14ac:dyDescent="0.3">
      <c r="A32">
        <f t="shared" si="3"/>
        <v>1922</v>
      </c>
      <c r="B32" s="2">
        <v>200194</v>
      </c>
      <c r="C32" s="2">
        <v>169190</v>
      </c>
      <c r="D32" s="2">
        <v>12119</v>
      </c>
      <c r="E32" s="10">
        <f t="shared" si="4"/>
        <v>0.18648345053626109</v>
      </c>
      <c r="F32" s="2">
        <f t="shared" si="0"/>
        <v>157071</v>
      </c>
      <c r="G32">
        <v>2561</v>
      </c>
      <c r="H32" s="2">
        <v>8248</v>
      </c>
      <c r="I32" s="2">
        <v>14074</v>
      </c>
      <c r="J32" s="2">
        <v>64987</v>
      </c>
      <c r="K32" s="2">
        <v>49483</v>
      </c>
      <c r="L32" s="2">
        <v>35154</v>
      </c>
      <c r="M32" s="2">
        <v>14352</v>
      </c>
      <c r="N32" s="2">
        <f t="shared" si="1"/>
        <v>223373</v>
      </c>
      <c r="O32" s="2">
        <v>42765</v>
      </c>
      <c r="P32" s="10">
        <f t="shared" si="5"/>
        <v>0.19145107063073871</v>
      </c>
      <c r="Q32" s="10">
        <v>148</v>
      </c>
      <c r="R32" s="10">
        <f t="shared" si="9"/>
        <v>0.15805946791862288</v>
      </c>
      <c r="S32" s="3">
        <v>0.14668002044225234</v>
      </c>
      <c r="T32">
        <v>0.11517628272132789</v>
      </c>
      <c r="U32" s="3">
        <f>(T32*N32)/Sheet2!P31</f>
        <v>0.18786404654947755</v>
      </c>
      <c r="V32" s="7">
        <v>75335</v>
      </c>
      <c r="W32" s="7">
        <v>12766</v>
      </c>
      <c r="X32" s="7">
        <f t="shared" si="6"/>
        <v>88101</v>
      </c>
      <c r="Y32">
        <f t="shared" si="7"/>
        <v>1922</v>
      </c>
      <c r="Z32">
        <v>1.0877041102082074E-2</v>
      </c>
      <c r="AA32" s="12">
        <v>4.8499999999999996</v>
      </c>
      <c r="AB32">
        <v>1.55E-2</v>
      </c>
      <c r="AD32">
        <f t="shared" si="2"/>
        <v>0.23325098512165521</v>
      </c>
      <c r="AE32">
        <f t="shared" si="8"/>
        <v>4.2577041102082075E-2</v>
      </c>
      <c r="AF32">
        <f>(AD32*J32+(AE32*X31))/Sheet2!P31</f>
        <v>0.13299919806996446</v>
      </c>
      <c r="AG32">
        <f>1-AF32-Sheet4!M34</f>
        <v>0.18189082766743725</v>
      </c>
    </row>
    <row r="33" spans="1:33" x14ac:dyDescent="0.3">
      <c r="A33">
        <f t="shared" si="3"/>
        <v>1923</v>
      </c>
      <c r="B33" s="2">
        <v>271310</v>
      </c>
      <c r="C33" s="2">
        <v>230718</v>
      </c>
      <c r="D33" s="2">
        <v>9442</v>
      </c>
      <c r="E33" s="10">
        <f t="shared" si="4"/>
        <v>0.15835639412997904</v>
      </c>
      <c r="F33" s="2">
        <f t="shared" si="0"/>
        <v>221276</v>
      </c>
      <c r="G33" s="2">
        <v>2009</v>
      </c>
      <c r="H33" s="2">
        <v>10936</v>
      </c>
      <c r="I33" s="2">
        <v>14945</v>
      </c>
      <c r="J33" s="2">
        <v>59625</v>
      </c>
      <c r="K33" s="2">
        <v>51583</v>
      </c>
      <c r="L33" s="2">
        <v>37987</v>
      </c>
      <c r="M33" s="2">
        <v>13929</v>
      </c>
      <c r="N33" s="2">
        <f t="shared" si="1"/>
        <v>238748</v>
      </c>
      <c r="O33" s="2">
        <v>28414</v>
      </c>
      <c r="P33" s="10">
        <f t="shared" si="5"/>
        <v>0.11901251528808618</v>
      </c>
      <c r="Q33" s="10">
        <v>165.9</v>
      </c>
      <c r="R33" s="10">
        <f t="shared" si="9"/>
        <v>0.12094594594594599</v>
      </c>
      <c r="S33" s="3">
        <v>9.6031201522223317E-2</v>
      </c>
      <c r="T33">
        <v>8.8258867894533188E-2</v>
      </c>
      <c r="U33" s="3">
        <f>(T33*N33)/Sheet2!P32</f>
        <v>0.12234608583906863</v>
      </c>
      <c r="V33" s="7">
        <v>83746</v>
      </c>
      <c r="W33" s="7">
        <v>19736</v>
      </c>
      <c r="X33" s="7">
        <f t="shared" si="6"/>
        <v>103482</v>
      </c>
      <c r="Y33">
        <f t="shared" si="7"/>
        <v>1923</v>
      </c>
      <c r="Z33">
        <v>1.0115438799249758E-2</v>
      </c>
      <c r="AA33" s="12">
        <v>4.9800000000000004</v>
      </c>
      <c r="AB33">
        <v>-1.3092171128217922E-2</v>
      </c>
      <c r="AD33">
        <f t="shared" si="2"/>
        <v>0.22929077504624951</v>
      </c>
      <c r="AE33">
        <f t="shared" si="8"/>
        <v>4.311543879924977E-2</v>
      </c>
      <c r="AF33">
        <f>(AD33*J33+(AE33*X32))/Sheet2!P32</f>
        <v>0.10143417164981064</v>
      </c>
      <c r="AG33">
        <f>1-AF33-Sheet4!M35</f>
        <v>0.18907323494782546</v>
      </c>
    </row>
    <row r="34" spans="1:33" x14ac:dyDescent="0.3">
      <c r="A34">
        <f t="shared" si="3"/>
        <v>1924</v>
      </c>
      <c r="B34" s="2">
        <v>299252</v>
      </c>
      <c r="C34" s="2">
        <v>252315</v>
      </c>
      <c r="D34" s="2">
        <v>13507</v>
      </c>
      <c r="E34" s="10">
        <f t="shared" si="4"/>
        <v>0.23373364712397038</v>
      </c>
      <c r="F34" s="2">
        <f t="shared" si="0"/>
        <v>238808</v>
      </c>
      <c r="G34" s="2">
        <v>1249</v>
      </c>
      <c r="H34" s="2">
        <v>12595</v>
      </c>
      <c r="I34" s="2">
        <v>15600</v>
      </c>
      <c r="J34" s="2">
        <v>57788</v>
      </c>
      <c r="K34" s="2">
        <v>69678</v>
      </c>
      <c r="L34" s="2">
        <v>51237</v>
      </c>
      <c r="M34" s="2">
        <v>14457</v>
      </c>
      <c r="N34" s="2">
        <f t="shared" si="1"/>
        <v>255569</v>
      </c>
      <c r="O34" s="2">
        <v>20928</v>
      </c>
      <c r="P34" s="10">
        <f t="shared" si="5"/>
        <v>8.1887865899228779E-2</v>
      </c>
      <c r="Q34" s="10">
        <v>165.5</v>
      </c>
      <c r="R34" s="10">
        <f t="shared" si="9"/>
        <v>-2.4110910186859896E-3</v>
      </c>
      <c r="S34" s="3">
        <v>6.5677693497820475E-2</v>
      </c>
      <c r="T34">
        <v>7.0619123754484536E-2</v>
      </c>
      <c r="U34" s="3">
        <f>(T34*N34)/Sheet2!P33</f>
        <v>9.9219537848850251E-2</v>
      </c>
      <c r="V34" s="7">
        <v>68485</v>
      </c>
      <c r="W34" s="7">
        <v>22838</v>
      </c>
      <c r="X34" s="7">
        <f t="shared" si="6"/>
        <v>91323</v>
      </c>
      <c r="Y34">
        <f t="shared" si="7"/>
        <v>1924</v>
      </c>
      <c r="Z34">
        <v>9.7880298098349233E-3</v>
      </c>
      <c r="AA34" s="12">
        <v>4.84</v>
      </c>
      <c r="AB34">
        <v>-3.3751496416000282E-2</v>
      </c>
      <c r="AD34">
        <f t="shared" si="2"/>
        <v>0.31778431299660226</v>
      </c>
      <c r="AE34">
        <f t="shared" si="8"/>
        <v>4.1388029809834928E-2</v>
      </c>
      <c r="AF34">
        <f>(AD34*J34+(AE34*X33))/Sheet2!P33</f>
        <v>0.12450249989060758</v>
      </c>
      <c r="AG34">
        <f>1-AF34-Sheet4!M36</f>
        <v>0.2077895099758329</v>
      </c>
    </row>
    <row r="35" spans="1:33" x14ac:dyDescent="0.3">
      <c r="A35">
        <f t="shared" si="3"/>
        <v>1925</v>
      </c>
      <c r="B35" s="2">
        <v>290290</v>
      </c>
      <c r="C35" s="2">
        <v>244273</v>
      </c>
      <c r="D35" s="2">
        <v>11806</v>
      </c>
      <c r="E35" s="10">
        <f t="shared" si="4"/>
        <v>0.20510771369006253</v>
      </c>
      <c r="F35" s="2">
        <f t="shared" si="0"/>
        <v>232467</v>
      </c>
      <c r="G35" s="2">
        <v>1176</v>
      </c>
      <c r="H35" s="2">
        <v>13206</v>
      </c>
      <c r="I35" s="2">
        <v>16144</v>
      </c>
      <c r="J35" s="2">
        <v>57560</v>
      </c>
      <c r="K35" s="2">
        <v>74600</v>
      </c>
      <c r="L35" s="2">
        <v>46213</v>
      </c>
      <c r="M35" s="2">
        <v>20139</v>
      </c>
      <c r="N35" s="2">
        <f t="shared" si="1"/>
        <v>245558</v>
      </c>
      <c r="O35" s="2">
        <v>15592</v>
      </c>
      <c r="P35" s="10">
        <f t="shared" si="5"/>
        <v>6.3496200490311863E-2</v>
      </c>
      <c r="Q35" s="10">
        <v>179.4</v>
      </c>
      <c r="R35" s="10">
        <f t="shared" si="9"/>
        <v>8.3987915407855024E-2</v>
      </c>
      <c r="S35" s="3">
        <v>4.7451231017377277E-2</v>
      </c>
      <c r="T35">
        <v>7.1650334062343252E-2</v>
      </c>
      <c r="U35" s="3">
        <f>(T35*N35)/Sheet2!P34</f>
        <v>9.8692256781990048E-2</v>
      </c>
      <c r="V35" s="7">
        <v>67798</v>
      </c>
      <c r="W35" s="7">
        <v>19526</v>
      </c>
      <c r="X35" s="7">
        <f t="shared" si="6"/>
        <v>87324</v>
      </c>
      <c r="Y35">
        <f t="shared" si="7"/>
        <v>1925</v>
      </c>
      <c r="Z35">
        <v>9.8020679636364669E-3</v>
      </c>
      <c r="AA35" s="12">
        <v>4.7300000000000004</v>
      </c>
      <c r="AB35" s="29">
        <v>2.5469503383043156E-3</v>
      </c>
      <c r="AC35" s="29">
        <v>2.5469503383043156E-3</v>
      </c>
      <c r="AD35">
        <f t="shared" si="2"/>
        <v>0.26018523047616643</v>
      </c>
      <c r="AE35">
        <f t="shared" si="8"/>
        <v>4.0302067963636473E-2</v>
      </c>
      <c r="AF35">
        <f>(AD35*J35+(AE35*X34))/Sheet2!P34</f>
        <v>0.10465191386794698</v>
      </c>
      <c r="AG35">
        <f>1-AF35-Sheet4!M37</f>
        <v>0.21969621219607238</v>
      </c>
    </row>
    <row r="36" spans="1:33" x14ac:dyDescent="0.3">
      <c r="A36">
        <f t="shared" si="3"/>
        <v>1926</v>
      </c>
      <c r="B36" s="2">
        <v>326974</v>
      </c>
      <c r="C36" s="2">
        <v>274296</v>
      </c>
      <c r="D36" s="2">
        <v>14411</v>
      </c>
      <c r="E36" s="10">
        <f t="shared" si="4"/>
        <v>0.27131184577151896</v>
      </c>
      <c r="F36" s="2">
        <f t="shared" si="0"/>
        <v>259885</v>
      </c>
      <c r="G36">
        <v>437</v>
      </c>
      <c r="H36" s="2">
        <v>15582</v>
      </c>
      <c r="I36" s="2">
        <v>19829</v>
      </c>
      <c r="J36" s="2">
        <v>53116</v>
      </c>
      <c r="K36" s="2">
        <v>78602</v>
      </c>
      <c r="L36" s="2">
        <v>54889</v>
      </c>
      <c r="M36" s="2">
        <v>13904</v>
      </c>
      <c r="N36" s="2">
        <f t="shared" si="1"/>
        <v>260323</v>
      </c>
      <c r="O36" s="2">
        <v>6243</v>
      </c>
      <c r="P36" s="10">
        <f t="shared" si="5"/>
        <v>2.3981745754312913E-2</v>
      </c>
      <c r="Q36" s="10">
        <v>190</v>
      </c>
      <c r="R36" s="10">
        <f t="shared" si="9"/>
        <v>5.9085841694537317E-2</v>
      </c>
      <c r="S36" s="3">
        <v>1.8164360843189457E-2</v>
      </c>
      <c r="T36">
        <v>9.4111846794026816E-2</v>
      </c>
      <c r="U36" s="3">
        <f>(T36*N36)/Sheet2!P35</f>
        <v>0.1230155066997391</v>
      </c>
      <c r="V36" s="7">
        <v>65295</v>
      </c>
      <c r="W36" s="7">
        <v>22325</v>
      </c>
      <c r="X36" s="7">
        <f t="shared" si="6"/>
        <v>87620</v>
      </c>
      <c r="Y36">
        <f t="shared" si="7"/>
        <v>1926</v>
      </c>
      <c r="Z36">
        <v>9.8870194597748661E-3</v>
      </c>
      <c r="AA36" s="12">
        <v>4.47</v>
      </c>
      <c r="AB36" s="29">
        <v>1.0612217891779803E-2</v>
      </c>
      <c r="AC36" s="29">
        <v>1.0612217891779803E-2</v>
      </c>
      <c r="AD36">
        <f t="shared" si="2"/>
        <v>0.31816586776346234</v>
      </c>
      <c r="AE36">
        <f t="shared" si="8"/>
        <v>3.7787019459774862E-2</v>
      </c>
      <c r="AF36">
        <f>(AD36*J36+(AE36*X35))/Sheet2!P35</f>
        <v>0.10142423698137454</v>
      </c>
      <c r="AG36">
        <f>1-AF36-Sheet4!M38</f>
        <v>0.23543956192449167</v>
      </c>
    </row>
    <row r="37" spans="1:33" x14ac:dyDescent="0.3">
      <c r="A37">
        <f t="shared" si="3"/>
        <v>1927</v>
      </c>
      <c r="B37" s="2">
        <v>312604</v>
      </c>
      <c r="C37" s="2">
        <v>263882</v>
      </c>
      <c r="D37" s="2">
        <v>11482</v>
      </c>
      <c r="E37" s="10">
        <f t="shared" si="4"/>
        <v>0.21731806567616163</v>
      </c>
      <c r="F37" s="2">
        <f t="shared" si="0"/>
        <v>252400</v>
      </c>
      <c r="G37">
        <v>284</v>
      </c>
      <c r="H37" s="2">
        <v>12572</v>
      </c>
      <c r="I37" s="2">
        <v>36826</v>
      </c>
      <c r="J37" s="2">
        <v>52835</v>
      </c>
      <c r="K37" s="2">
        <v>77393</v>
      </c>
      <c r="L37" s="2">
        <v>33969</v>
      </c>
      <c r="M37" s="2">
        <v>12721</v>
      </c>
      <c r="N37" s="2">
        <f t="shared" si="1"/>
        <v>235480</v>
      </c>
      <c r="O37" s="2">
        <v>4057</v>
      </c>
      <c r="P37" s="10">
        <f t="shared" si="5"/>
        <v>1.7228639374893835E-2</v>
      </c>
      <c r="Q37" s="10">
        <v>189.8</v>
      </c>
      <c r="R37" s="10">
        <f t="shared" si="9"/>
        <v>-1.0526315789473085E-3</v>
      </c>
      <c r="S37" s="3">
        <v>1.3252496480264985E-2</v>
      </c>
      <c r="T37">
        <v>9.7996627930673721E-2</v>
      </c>
      <c r="U37" s="3">
        <f>(T37*N37)/Sheet2!P36</f>
        <v>0.12082692838641372</v>
      </c>
      <c r="V37" s="7">
        <v>67214</v>
      </c>
      <c r="W37" s="7">
        <v>16790</v>
      </c>
      <c r="X37" s="7">
        <f t="shared" si="6"/>
        <v>84004</v>
      </c>
      <c r="Y37">
        <f t="shared" si="7"/>
        <v>1927</v>
      </c>
      <c r="Z37">
        <v>9.8776730640416088E-3</v>
      </c>
      <c r="AA37" s="12">
        <v>4.34</v>
      </c>
      <c r="AB37" s="29">
        <v>-3.2950547752513544E-4</v>
      </c>
      <c r="AC37" s="29">
        <v>-3.2950547752513544E-4</v>
      </c>
      <c r="AD37">
        <f t="shared" si="2"/>
        <v>0.27085363672472296</v>
      </c>
      <c r="AE37">
        <f t="shared" si="8"/>
        <v>3.6477673064041607E-2</v>
      </c>
      <c r="AF37">
        <f>(AD37*J37+(AE37*X36))/Sheet2!P36</f>
        <v>9.1664991204285354E-2</v>
      </c>
      <c r="AG37">
        <f>1-AF37-Sheet4!M39</f>
        <v>0.22356238216818125</v>
      </c>
    </row>
    <row r="38" spans="1:33" x14ac:dyDescent="0.3">
      <c r="A38">
        <f t="shared" si="3"/>
        <v>1928</v>
      </c>
      <c r="B38" s="2">
        <v>337189</v>
      </c>
      <c r="C38" s="2">
        <v>287857</v>
      </c>
      <c r="D38" s="2">
        <v>10373</v>
      </c>
      <c r="E38" s="10">
        <f t="shared" si="4"/>
        <v>0.20772172937901756</v>
      </c>
      <c r="F38" s="2">
        <f t="shared" si="0"/>
        <v>277484</v>
      </c>
      <c r="G38">
        <v>322</v>
      </c>
      <c r="H38" s="2">
        <v>9671</v>
      </c>
      <c r="I38" s="2">
        <v>45841</v>
      </c>
      <c r="J38" s="2">
        <v>49937</v>
      </c>
      <c r="K38" s="2">
        <v>64089</v>
      </c>
      <c r="L38" s="2">
        <v>39805</v>
      </c>
      <c r="M38" s="2">
        <v>17928</v>
      </c>
      <c r="N38" s="2">
        <f t="shared" si="1"/>
        <v>218766</v>
      </c>
      <c r="O38" s="7">
        <v>4600</v>
      </c>
      <c r="P38" s="10">
        <f t="shared" si="5"/>
        <v>2.1027033451267566E-2</v>
      </c>
      <c r="Q38" s="10">
        <v>190.9</v>
      </c>
      <c r="R38" s="10">
        <f t="shared" si="9"/>
        <v>5.7955742887249436E-3</v>
      </c>
      <c r="S38" s="3">
        <v>1.3851249623607348E-2</v>
      </c>
      <c r="T38">
        <v>9.115819754856358E-2</v>
      </c>
      <c r="U38" s="3">
        <f>(T38*N38)/Sheet2!P37</f>
        <v>0.10293184653875188</v>
      </c>
      <c r="V38" s="7">
        <v>63776</v>
      </c>
      <c r="W38" s="7">
        <v>19087</v>
      </c>
      <c r="X38" s="7">
        <f t="shared" si="6"/>
        <v>82863</v>
      </c>
      <c r="Y38">
        <f t="shared" si="7"/>
        <v>1928</v>
      </c>
      <c r="Z38">
        <v>9.827611194054937E-3</v>
      </c>
      <c r="AA38" s="12">
        <v>4.3499999999999996</v>
      </c>
      <c r="AB38" s="29">
        <v>-5.9317290524741066E-4</v>
      </c>
      <c r="AC38" s="29">
        <v>-5.9317290524741066E-4</v>
      </c>
      <c r="AD38">
        <f t="shared" si="2"/>
        <v>0.26151929857662115</v>
      </c>
      <c r="AE38">
        <f t="shared" si="8"/>
        <v>3.652761119405494E-2</v>
      </c>
      <c r="AF38">
        <f>(AD38*J38+(AE38*X37))/Sheet2!P37</f>
        <v>8.3244107682161964E-2</v>
      </c>
      <c r="AG38">
        <f>1-AF38-Sheet4!M40</f>
        <v>0.22492202700629516</v>
      </c>
    </row>
    <row r="39" spans="1:33" x14ac:dyDescent="0.3">
      <c r="A39">
        <f t="shared" si="3"/>
        <v>1929</v>
      </c>
      <c r="B39" s="2">
        <v>415338</v>
      </c>
      <c r="C39" s="2">
        <v>350418</v>
      </c>
      <c r="D39" s="2">
        <v>5303</v>
      </c>
      <c r="E39" s="10">
        <f t="shared" si="4"/>
        <v>0.1024892737041475</v>
      </c>
      <c r="F39" s="2">
        <f t="shared" si="0"/>
        <v>345115</v>
      </c>
      <c r="G39">
        <v>451</v>
      </c>
      <c r="H39" s="2">
        <v>15524</v>
      </c>
      <c r="I39" s="2">
        <v>42235</v>
      </c>
      <c r="J39" s="2">
        <v>51742</v>
      </c>
      <c r="K39" s="2">
        <v>64371</v>
      </c>
      <c r="L39" s="2">
        <v>54568</v>
      </c>
      <c r="M39" s="2">
        <v>23232</v>
      </c>
      <c r="N39" s="2">
        <f t="shared" si="1"/>
        <v>249174</v>
      </c>
      <c r="O39" s="7">
        <v>6443</v>
      </c>
      <c r="P39" s="10">
        <f t="shared" si="5"/>
        <v>2.5857432958494866E-2</v>
      </c>
      <c r="Q39" s="10">
        <v>203.6</v>
      </c>
      <c r="R39" s="10">
        <f t="shared" si="9"/>
        <v>6.6526977475117807E-2</v>
      </c>
      <c r="S39" s="3">
        <v>2.0927120482788636E-2</v>
      </c>
      <c r="T39">
        <v>9.589785448726211E-2</v>
      </c>
      <c r="U39" s="3">
        <f>(T39*N39)/Sheet2!P38</f>
        <v>0.10240586091343243</v>
      </c>
      <c r="V39" s="7">
        <v>80836</v>
      </c>
      <c r="W39" s="7">
        <v>20889</v>
      </c>
      <c r="X39" s="7">
        <f t="shared" si="6"/>
        <v>101725</v>
      </c>
      <c r="Y39">
        <f t="shared" si="7"/>
        <v>1929</v>
      </c>
      <c r="Z39">
        <v>1.0010942046132934E-2</v>
      </c>
      <c r="AA39" s="12">
        <v>4.5999999999999996</v>
      </c>
      <c r="AB39" s="29">
        <v>-9.5685814725611287E-3</v>
      </c>
      <c r="AC39" s="29">
        <v>-9.5685814725611287E-3</v>
      </c>
      <c r="AD39">
        <f t="shared" si="2"/>
        <v>0.1670881202573398</v>
      </c>
      <c r="AE39">
        <f t="shared" si="8"/>
        <v>3.9210942046132929E-2</v>
      </c>
      <c r="AF39">
        <f>(AD39*J39+(AE39*X38))/Sheet2!P38</f>
        <v>5.0975723463309495E-2</v>
      </c>
      <c r="AG39">
        <f>1-AF39-Sheet4!M41</f>
        <v>0.24997304965391631</v>
      </c>
    </row>
    <row r="40" spans="1:33" x14ac:dyDescent="0.3">
      <c r="A40">
        <f t="shared" si="3"/>
        <v>1930</v>
      </c>
      <c r="B40" s="2">
        <v>376167</v>
      </c>
      <c r="C40" s="2">
        <v>325710</v>
      </c>
      <c r="D40" s="2">
        <v>10582</v>
      </c>
      <c r="E40" s="10">
        <f t="shared" si="4"/>
        <v>0.22943995143210252</v>
      </c>
      <c r="F40" s="2">
        <f t="shared" si="0"/>
        <v>315128</v>
      </c>
      <c r="G40">
        <v>313</v>
      </c>
      <c r="H40" s="2">
        <v>10007</v>
      </c>
      <c r="I40" s="2">
        <v>48725</v>
      </c>
      <c r="J40" s="2">
        <v>46121</v>
      </c>
      <c r="K40" s="2">
        <v>141718</v>
      </c>
      <c r="L40" s="2">
        <v>41677</v>
      </c>
      <c r="M40" s="2">
        <v>18415</v>
      </c>
      <c r="N40" s="2">
        <f t="shared" si="1"/>
        <v>287394</v>
      </c>
      <c r="O40" s="7">
        <v>4471</v>
      </c>
      <c r="P40" s="10">
        <f t="shared" si="5"/>
        <v>1.5557040160894103E-2</v>
      </c>
      <c r="Q40" s="10">
        <v>183.5</v>
      </c>
      <c r="R40" s="10">
        <f t="shared" si="9"/>
        <v>-9.8722986247544178E-2</v>
      </c>
      <c r="S40" s="3">
        <v>1.546192099930143E-2</v>
      </c>
      <c r="T40">
        <v>0.10609556484162636</v>
      </c>
      <c r="U40" s="3">
        <f>(T40*N40)/Sheet2!P39</f>
        <v>0.15097190878086539</v>
      </c>
      <c r="V40" s="7">
        <v>60063</v>
      </c>
      <c r="W40" s="7">
        <v>16230</v>
      </c>
      <c r="X40" s="7">
        <f t="shared" si="6"/>
        <v>76293</v>
      </c>
      <c r="Y40">
        <f t="shared" si="7"/>
        <v>1930</v>
      </c>
      <c r="Z40" s="29">
        <v>9.0470897039750392E-3</v>
      </c>
      <c r="AA40" s="27">
        <v>4.5466666666666669</v>
      </c>
      <c r="AB40" s="29">
        <v>0</v>
      </c>
      <c r="AC40" s="29">
        <v>0</v>
      </c>
      <c r="AD40">
        <f t="shared" si="2"/>
        <v>0.2839537078027442</v>
      </c>
      <c r="AE40">
        <f t="shared" si="8"/>
        <v>3.7713756370641713E-2</v>
      </c>
      <c r="AF40">
        <f>(AD40*J40+(AE40*X39))/Sheet2!P39</f>
        <v>8.3839065501114904E-2</v>
      </c>
      <c r="AG40">
        <f>1-AF40-Sheet4!M42</f>
        <v>0.21838471209656685</v>
      </c>
    </row>
    <row r="41" spans="1:33" x14ac:dyDescent="0.3">
      <c r="A41">
        <f t="shared" si="3"/>
        <v>1931</v>
      </c>
      <c r="B41" s="2">
        <v>263275</v>
      </c>
      <c r="C41" s="2">
        <v>227719</v>
      </c>
      <c r="D41" s="2">
        <v>8859</v>
      </c>
      <c r="E41" s="10">
        <f t="shared" si="4"/>
        <v>0.19138456220700381</v>
      </c>
      <c r="F41" s="2">
        <f t="shared" si="0"/>
        <v>218860</v>
      </c>
      <c r="G41">
        <v>433</v>
      </c>
      <c r="H41" s="2">
        <v>7165</v>
      </c>
      <c r="I41" s="2">
        <v>48725</v>
      </c>
      <c r="J41" s="2">
        <v>46289</v>
      </c>
      <c r="K41" s="2">
        <v>115056</v>
      </c>
      <c r="L41" s="2">
        <v>39192</v>
      </c>
      <c r="M41" s="2">
        <v>5705</v>
      </c>
      <c r="N41" s="2">
        <f t="shared" si="1"/>
        <v>262231</v>
      </c>
      <c r="O41" s="7">
        <v>6186</v>
      </c>
      <c r="P41" s="10">
        <f t="shared" si="5"/>
        <v>2.3589888304586415E-2</v>
      </c>
      <c r="Q41" s="10">
        <v>169.3</v>
      </c>
      <c r="R41" s="10">
        <f t="shared" si="9"/>
        <v>-7.7384196185286039E-2</v>
      </c>
      <c r="S41" s="3">
        <v>2.328908432410454E-2</v>
      </c>
      <c r="T41">
        <v>0.12646675849111402</v>
      </c>
      <c r="U41" s="3">
        <f>(T41*N41)/Sheet2!P40</f>
        <v>0.21951675663795464</v>
      </c>
      <c r="V41" s="7">
        <v>57335</v>
      </c>
      <c r="W41" s="7">
        <v>10064</v>
      </c>
      <c r="X41" s="7">
        <f t="shared" si="6"/>
        <v>67399</v>
      </c>
      <c r="Y41">
        <f t="shared" si="7"/>
        <v>1931</v>
      </c>
      <c r="Z41" s="29">
        <v>9.600753098982423E-3</v>
      </c>
      <c r="AA41" s="27">
        <v>4.5774999999999997</v>
      </c>
      <c r="AB41" s="29">
        <v>0</v>
      </c>
      <c r="AC41" s="29">
        <v>0</v>
      </c>
      <c r="AD41">
        <f t="shared" si="2"/>
        <v>0.24676031530598624</v>
      </c>
      <c r="AE41">
        <f t="shared" si="8"/>
        <v>3.8575753098982424E-2</v>
      </c>
      <c r="AF41">
        <f>(AD41*J41+(AE41*X40))/Sheet2!P40</f>
        <v>9.5087496953033979E-2</v>
      </c>
      <c r="AG41">
        <f>1-AF41-Sheet4!M43</f>
        <v>0.19890545944834348</v>
      </c>
    </row>
    <row r="42" spans="1:33" x14ac:dyDescent="0.3">
      <c r="A42">
        <f t="shared" si="3"/>
        <v>1932</v>
      </c>
      <c r="B42" s="2">
        <v>147162</v>
      </c>
      <c r="C42" s="2">
        <v>140252</v>
      </c>
      <c r="D42" s="2">
        <v>6581</v>
      </c>
      <c r="E42" s="10">
        <f t="shared" si="4"/>
        <v>0.14629646096389828</v>
      </c>
      <c r="F42" s="2">
        <f t="shared" si="0"/>
        <v>133671</v>
      </c>
      <c r="G42">
        <v>314</v>
      </c>
      <c r="H42">
        <v>3280</v>
      </c>
      <c r="I42" s="2">
        <v>18439</v>
      </c>
      <c r="J42" s="2">
        <v>44984</v>
      </c>
      <c r="K42" s="2">
        <v>107804</v>
      </c>
      <c r="L42" s="2">
        <v>23976</v>
      </c>
      <c r="M42" s="2">
        <v>3280</v>
      </c>
      <c r="N42" s="2">
        <f t="shared" si="1"/>
        <v>221475</v>
      </c>
      <c r="O42" s="7">
        <v>6538</v>
      </c>
      <c r="P42" s="10">
        <f t="shared" si="5"/>
        <v>2.9520261880573429E-2</v>
      </c>
      <c r="Q42" s="10">
        <v>144.19999999999999</v>
      </c>
      <c r="R42" s="10">
        <f t="shared" si="9"/>
        <v>-0.14825753101004147</v>
      </c>
      <c r="S42" s="3">
        <v>2.6139139543344674E-2</v>
      </c>
      <c r="T42">
        <v>9.8814354078363101E-2</v>
      </c>
      <c r="U42" s="3">
        <f>(T42*N42)/Sheet2!P41</f>
        <v>0.29221785136969852</v>
      </c>
      <c r="V42" s="7">
        <v>41686</v>
      </c>
      <c r="W42" s="7">
        <v>6305</v>
      </c>
      <c r="X42" s="7">
        <f t="shared" si="6"/>
        <v>47991</v>
      </c>
      <c r="Y42">
        <f t="shared" si="7"/>
        <v>1932</v>
      </c>
      <c r="Z42" s="29">
        <v>9.4859022818869852E-3</v>
      </c>
      <c r="AA42" s="27">
        <v>5.0066666666666668</v>
      </c>
      <c r="AB42" s="29">
        <v>0</v>
      </c>
      <c r="AC42" s="29">
        <v>0</v>
      </c>
      <c r="AD42">
        <f t="shared" si="2"/>
        <v>0.20584902991245194</v>
      </c>
      <c r="AE42">
        <f t="shared" si="8"/>
        <v>4.2752568948553657E-2</v>
      </c>
      <c r="AF42">
        <f>(AD42*J42+(AE42*X41))/Sheet2!P41</f>
        <v>0.16211773187887027</v>
      </c>
      <c r="AG42">
        <f>1-AF42-Sheet4!M44</f>
        <v>1.8020600901403339E-2</v>
      </c>
    </row>
    <row r="43" spans="1:33" x14ac:dyDescent="0.3">
      <c r="A43">
        <f t="shared" si="3"/>
        <v>1933</v>
      </c>
      <c r="B43" s="2">
        <v>136637</v>
      </c>
      <c r="C43" s="2">
        <v>124952</v>
      </c>
      <c r="D43" s="2">
        <v>6180</v>
      </c>
      <c r="E43" s="10">
        <f t="shared" si="4"/>
        <v>0.14629989110364092</v>
      </c>
      <c r="F43" s="2">
        <f t="shared" si="0"/>
        <v>118772</v>
      </c>
      <c r="G43">
        <v>410</v>
      </c>
      <c r="H43">
        <v>4814</v>
      </c>
      <c r="I43" s="2">
        <v>14113</v>
      </c>
      <c r="J43" s="2">
        <v>42242</v>
      </c>
      <c r="K43" s="2">
        <v>60902</v>
      </c>
      <c r="L43" s="2">
        <v>21238</v>
      </c>
      <c r="M43" s="2">
        <v>4386</v>
      </c>
      <c r="N43" s="2">
        <f t="shared" si="1"/>
        <v>168991</v>
      </c>
      <c r="O43" s="7">
        <v>6527</v>
      </c>
      <c r="P43" s="10">
        <f t="shared" si="5"/>
        <v>3.8623358640400965E-2</v>
      </c>
      <c r="Q43" s="10">
        <v>141.5</v>
      </c>
      <c r="R43" s="10">
        <f t="shared" si="9"/>
        <v>-1.8723994452149714E-2</v>
      </c>
      <c r="S43" s="3">
        <v>2.9607083563918096E-2</v>
      </c>
      <c r="T43">
        <v>8.6268405976980489E-2</v>
      </c>
      <c r="U43" s="3">
        <f>(T43*N43)/Sheet2!P42</f>
        <v>0.19932491194200572</v>
      </c>
      <c r="V43" s="7">
        <v>45467</v>
      </c>
      <c r="W43" s="7">
        <v>3528</v>
      </c>
      <c r="X43" s="7">
        <f t="shared" si="6"/>
        <v>48995</v>
      </c>
      <c r="Y43">
        <f t="shared" si="7"/>
        <v>1933</v>
      </c>
      <c r="Z43" s="29">
        <v>8.8266949352607902E-3</v>
      </c>
      <c r="AA43" s="27">
        <v>4.4891666666666667</v>
      </c>
      <c r="AB43" s="29">
        <v>0</v>
      </c>
      <c r="AC43" s="29">
        <v>0</v>
      </c>
      <c r="AD43">
        <f t="shared" si="2"/>
        <v>0.20001825270556839</v>
      </c>
      <c r="AE43">
        <f t="shared" si="8"/>
        <v>3.6918361601927463E-2</v>
      </c>
      <c r="AF43">
        <f>(AD43*J43+(AE43*X42))/Sheet2!P42</f>
        <v>0.13974498320239762</v>
      </c>
      <c r="AG43">
        <f>1-AF43-Sheet4!M45</f>
        <v>0.1045132729044006</v>
      </c>
    </row>
    <row r="44" spans="1:33" x14ac:dyDescent="0.3">
      <c r="A44">
        <f t="shared" si="3"/>
        <v>1934</v>
      </c>
      <c r="B44" s="2">
        <v>164797</v>
      </c>
      <c r="C44" s="2">
        <v>147716</v>
      </c>
      <c r="D44" s="2">
        <v>7336</v>
      </c>
      <c r="E44" s="10">
        <f t="shared" si="4"/>
        <v>0.18408110007025996</v>
      </c>
      <c r="F44" s="2">
        <f t="shared" si="0"/>
        <v>140380</v>
      </c>
      <c r="G44">
        <v>366</v>
      </c>
      <c r="H44">
        <v>5591</v>
      </c>
      <c r="I44" s="2">
        <v>19881</v>
      </c>
      <c r="J44" s="2">
        <v>39852</v>
      </c>
      <c r="K44" s="2">
        <v>58667</v>
      </c>
      <c r="L44" s="2">
        <v>21197</v>
      </c>
      <c r="M44" s="2">
        <v>5731</v>
      </c>
      <c r="N44" s="2">
        <f t="shared" si="1"/>
        <v>169246</v>
      </c>
      <c r="O44" s="7">
        <v>5332</v>
      </c>
      <c r="P44" s="10">
        <f t="shared" si="5"/>
        <v>3.1504437327913214E-2</v>
      </c>
      <c r="Q44" s="10">
        <v>154.30000000000001</v>
      </c>
      <c r="R44" s="10">
        <f t="shared" si="9"/>
        <v>9.0459363957597252E-2</v>
      </c>
      <c r="S44" s="3">
        <v>2.4054099166768171E-2</v>
      </c>
      <c r="T44">
        <v>8.8448179471963387E-2</v>
      </c>
      <c r="U44" s="3">
        <f>(T44*N44)/Sheet2!P43</f>
        <v>0.15025903316189895</v>
      </c>
      <c r="V44" s="7">
        <v>51314</v>
      </c>
      <c r="W44" s="7">
        <v>3947</v>
      </c>
      <c r="X44" s="7">
        <f t="shared" si="6"/>
        <v>55261</v>
      </c>
      <c r="Y44">
        <f t="shared" si="7"/>
        <v>1934</v>
      </c>
      <c r="Z44" s="29">
        <v>8.4082992950085117E-3</v>
      </c>
      <c r="AA44" s="27">
        <v>4.003333333333333</v>
      </c>
      <c r="AB44" s="29">
        <v>-2.2164266858674564E-2</v>
      </c>
      <c r="AC44" s="29">
        <v>-2.2164266858674564E-2</v>
      </c>
      <c r="AD44">
        <f t="shared" si="2"/>
        <v>0.25060697693168077</v>
      </c>
      <c r="AE44">
        <f t="shared" si="8"/>
        <v>3.164163262834184E-2</v>
      </c>
      <c r="AF44">
        <f>(AD44*J44+(AE44*X43))/Sheet2!P43</f>
        <v>0.11580942418864641</v>
      </c>
      <c r="AG44">
        <f>1-AF44-Sheet4!M46</f>
        <v>0.1292805701230012</v>
      </c>
    </row>
    <row r="45" spans="1:33" x14ac:dyDescent="0.3">
      <c r="A45">
        <f t="shared" si="3"/>
        <v>1935</v>
      </c>
      <c r="B45" s="2">
        <v>208733</v>
      </c>
      <c r="C45" s="2">
        <v>177068</v>
      </c>
      <c r="D45" s="2">
        <v>9339</v>
      </c>
      <c r="E45" s="10">
        <f t="shared" si="4"/>
        <v>0.26060386203817393</v>
      </c>
      <c r="F45" s="2">
        <f t="shared" si="0"/>
        <v>167729</v>
      </c>
      <c r="G45">
        <v>273</v>
      </c>
      <c r="H45">
        <v>13274</v>
      </c>
      <c r="I45" s="2">
        <v>20191</v>
      </c>
      <c r="J45" s="2">
        <v>35836</v>
      </c>
      <c r="K45" s="2">
        <v>56879</v>
      </c>
      <c r="L45" s="2">
        <v>25236</v>
      </c>
      <c r="M45" s="2">
        <v>6359</v>
      </c>
      <c r="N45" s="2">
        <f t="shared" si="1"/>
        <v>170489</v>
      </c>
      <c r="O45" s="7">
        <v>5136</v>
      </c>
      <c r="P45" s="10">
        <f t="shared" si="5"/>
        <v>3.0125110710954958E-2</v>
      </c>
      <c r="Q45" s="10">
        <v>169.5</v>
      </c>
      <c r="R45" s="10">
        <f t="shared" si="9"/>
        <v>9.8509397278029737E-2</v>
      </c>
      <c r="S45" s="3">
        <v>2.4551373366348939E-2</v>
      </c>
      <c r="T45">
        <v>0.10126251682182112</v>
      </c>
      <c r="U45" s="3">
        <f>(T45*N45)/Sheet2!P44</f>
        <v>0.13306349995493005</v>
      </c>
      <c r="V45" s="7">
        <v>49951</v>
      </c>
      <c r="W45" s="7">
        <v>8946</v>
      </c>
      <c r="X45" s="7">
        <f t="shared" si="6"/>
        <v>58897</v>
      </c>
      <c r="Y45">
        <f t="shared" si="7"/>
        <v>1935</v>
      </c>
      <c r="Z45" s="29">
        <v>8.3801903266609926E-3</v>
      </c>
      <c r="AA45" s="27">
        <v>3.6025</v>
      </c>
      <c r="AB45" s="29">
        <v>2.1237643466428088E-3</v>
      </c>
      <c r="AC45" s="29">
        <v>2.1237643466428088E-3</v>
      </c>
      <c r="AD45">
        <f t="shared" si="2"/>
        <v>0.30343874920898622</v>
      </c>
      <c r="AE45">
        <f t="shared" si="8"/>
        <v>2.7605190326660995E-2</v>
      </c>
      <c r="AF45">
        <f>(AD45*J45+(AE45*X44))/Sheet2!P44</f>
        <v>9.556938374047419E-2</v>
      </c>
      <c r="AG45">
        <f>1-AF45-Sheet4!M47</f>
        <v>0.22046918517362257</v>
      </c>
    </row>
    <row r="46" spans="1:33" x14ac:dyDescent="0.3">
      <c r="A46">
        <f t="shared" si="3"/>
        <v>1936</v>
      </c>
      <c r="B46" s="2">
        <v>268545</v>
      </c>
      <c r="C46" s="2">
        <v>220131</v>
      </c>
      <c r="D46" s="2">
        <v>11799</v>
      </c>
      <c r="E46" s="10">
        <f t="shared" si="4"/>
        <v>0.36695278969957079</v>
      </c>
      <c r="F46" s="2">
        <f t="shared" si="0"/>
        <v>208332</v>
      </c>
      <c r="G46">
        <v>245</v>
      </c>
      <c r="H46">
        <v>19500</v>
      </c>
      <c r="I46" s="2">
        <v>43266</v>
      </c>
      <c r="J46" s="2">
        <v>32154</v>
      </c>
      <c r="K46" s="2">
        <v>40213</v>
      </c>
      <c r="L46" s="2">
        <v>30985</v>
      </c>
      <c r="M46" s="2">
        <v>9304</v>
      </c>
      <c r="N46" s="2">
        <f t="shared" si="1"/>
        <v>164009</v>
      </c>
      <c r="O46" s="7">
        <v>4199</v>
      </c>
      <c r="P46" s="10">
        <f t="shared" si="5"/>
        <v>2.5602253534866989E-2</v>
      </c>
      <c r="Q46" s="10">
        <v>193</v>
      </c>
      <c r="R46" s="10">
        <f t="shared" si="9"/>
        <v>0.13864306784660768</v>
      </c>
      <c r="S46" s="3">
        <v>2.7478747979503827E-2</v>
      </c>
      <c r="T46">
        <v>5.7680781021302835E-2</v>
      </c>
      <c r="U46" s="3">
        <f>(T46*N46)/Sheet2!P45</f>
        <v>5.6657693196101824E-2</v>
      </c>
      <c r="V46" s="7">
        <v>60049</v>
      </c>
      <c r="W46" s="7">
        <v>9912</v>
      </c>
      <c r="X46" s="7">
        <f t="shared" si="6"/>
        <v>69961</v>
      </c>
      <c r="Y46">
        <f t="shared" si="7"/>
        <v>1936</v>
      </c>
      <c r="Z46" s="29">
        <v>7.8739982203560512E-3</v>
      </c>
      <c r="AA46" s="27">
        <v>3.2358333333333333</v>
      </c>
      <c r="AB46" s="29">
        <v>3.850710047378085E-2</v>
      </c>
      <c r="AC46" s="29">
        <v>3.850710047378085E-2</v>
      </c>
      <c r="AD46">
        <f t="shared" si="2"/>
        <v>0.3828083087215749</v>
      </c>
      <c r="AE46">
        <f t="shared" si="8"/>
        <v>2.343233155368939E-2</v>
      </c>
      <c r="AF46">
        <f>(AD46*J46+(AE46*X45))/Sheet2!P45</f>
        <v>8.1983984088448231E-2</v>
      </c>
      <c r="AG46">
        <f>1-AF46-Sheet4!M48</f>
        <v>0.27863645771300749</v>
      </c>
    </row>
    <row r="47" spans="1:33" x14ac:dyDescent="0.3">
      <c r="A47">
        <f t="shared" si="3"/>
        <v>1937</v>
      </c>
      <c r="B47" s="2">
        <v>349740</v>
      </c>
      <c r="C47" s="2">
        <v>276083</v>
      </c>
      <c r="D47" s="2">
        <v>12067</v>
      </c>
      <c r="E47" s="10">
        <f t="shared" si="4"/>
        <v>0.30105783144553666</v>
      </c>
      <c r="F47" s="2">
        <f t="shared" si="0"/>
        <v>264016</v>
      </c>
      <c r="G47">
        <v>265</v>
      </c>
      <c r="H47">
        <v>25801</v>
      </c>
      <c r="I47" s="2">
        <v>63274</v>
      </c>
      <c r="J47" s="2">
        <v>40082</v>
      </c>
      <c r="K47" s="2">
        <v>47536</v>
      </c>
      <c r="L47" s="2">
        <v>34144</v>
      </c>
      <c r="M47" s="2">
        <v>11559</v>
      </c>
      <c r="N47" s="2">
        <f t="shared" si="1"/>
        <v>216365</v>
      </c>
      <c r="O47" s="7">
        <v>4111</v>
      </c>
      <c r="P47" s="10">
        <f t="shared" si="5"/>
        <v>1.9000300418274673E-2</v>
      </c>
      <c r="Q47" s="10">
        <v>203.2</v>
      </c>
      <c r="R47" s="10">
        <f t="shared" si="9"/>
        <v>5.2849740932642428E-2</v>
      </c>
      <c r="S47" s="3">
        <v>2.0257119064161506E-2</v>
      </c>
      <c r="T47">
        <v>6.3878685192440887E-2</v>
      </c>
      <c r="U47" s="3">
        <f>(T47*N47)/Sheet2!P46</f>
        <v>5.9803486327117003E-2</v>
      </c>
      <c r="V47" s="7">
        <v>93768</v>
      </c>
      <c r="W47" s="7">
        <v>12394</v>
      </c>
      <c r="X47" s="7">
        <f t="shared" si="6"/>
        <v>106162</v>
      </c>
      <c r="Y47">
        <f t="shared" si="7"/>
        <v>1937</v>
      </c>
      <c r="Z47" s="29">
        <v>7.9669189259201842E-3</v>
      </c>
      <c r="AA47" s="27">
        <v>3.2633333333333332</v>
      </c>
      <c r="AB47" s="29">
        <v>3.6982405494698757E-2</v>
      </c>
      <c r="AC47" s="29">
        <v>3.6982405494698757E-2</v>
      </c>
      <c r="AD47">
        <f t="shared" si="2"/>
        <v>0.3158095210099649</v>
      </c>
      <c r="AE47">
        <f t="shared" si="8"/>
        <v>2.3800252259253519E-2</v>
      </c>
      <c r="AF47">
        <f>(AD47*J47+(AE47*X46))/Sheet2!P46</f>
        <v>6.1976726621132364E-2</v>
      </c>
      <c r="AG47">
        <f>1-AF47-Sheet4!M49</f>
        <v>0.30894814289357009</v>
      </c>
    </row>
    <row r="48" spans="1:33" x14ac:dyDescent="0.3">
      <c r="A48">
        <f t="shared" si="3"/>
        <v>1938</v>
      </c>
      <c r="B48" s="2">
        <v>259484</v>
      </c>
      <c r="C48" s="2">
        <v>219144</v>
      </c>
      <c r="D48" s="2">
        <v>11655</v>
      </c>
      <c r="E48" s="10">
        <f t="shared" si="4"/>
        <v>0.29030088671913917</v>
      </c>
      <c r="F48" s="2">
        <f t="shared" si="0"/>
        <v>207489</v>
      </c>
      <c r="G48">
        <v>315</v>
      </c>
      <c r="H48">
        <v>20779</v>
      </c>
      <c r="I48" s="2">
        <v>25899</v>
      </c>
      <c r="J48" s="2">
        <v>40148</v>
      </c>
      <c r="K48" s="2">
        <v>60597</v>
      </c>
      <c r="L48" s="2">
        <v>25065</v>
      </c>
      <c r="M48" s="2">
        <v>6302</v>
      </c>
      <c r="N48" s="2">
        <f t="shared" si="1"/>
        <v>200042</v>
      </c>
      <c r="O48" s="7">
        <v>4604</v>
      </c>
      <c r="P48" s="10">
        <f t="shared" si="5"/>
        <v>2.3015166814968856E-2</v>
      </c>
      <c r="Q48" s="10">
        <v>192.9</v>
      </c>
      <c r="R48" s="10">
        <f t="shared" si="9"/>
        <v>-5.0688976377952673E-2</v>
      </c>
      <c r="S48" s="3">
        <v>2.2007648183556404E-2</v>
      </c>
      <c r="T48">
        <v>8.0633737342546544E-2</v>
      </c>
      <c r="U48" s="3">
        <f>(T48*N48)/Sheet2!P47</f>
        <v>0.10508614187651133</v>
      </c>
      <c r="V48" s="7">
        <v>68518</v>
      </c>
      <c r="W48" s="7">
        <v>12016</v>
      </c>
      <c r="X48" s="7">
        <f t="shared" si="6"/>
        <v>80534</v>
      </c>
      <c r="Y48">
        <f t="shared" si="7"/>
        <v>1938</v>
      </c>
      <c r="Z48" s="29">
        <v>8.3046993040315643E-3</v>
      </c>
      <c r="AA48" s="27">
        <v>3.1924999999999999</v>
      </c>
      <c r="AB48" s="29">
        <v>2.7471091706936405E-2</v>
      </c>
      <c r="AC48" s="29">
        <v>2.7471091706936405E-2</v>
      </c>
      <c r="AD48">
        <f t="shared" si="2"/>
        <v>0.31103437659790079</v>
      </c>
      <c r="AE48">
        <f t="shared" si="8"/>
        <v>2.3429699304031566E-2</v>
      </c>
      <c r="AF48">
        <f>(AD48*J48+(AE48*X47))/Sheet2!P47</f>
        <v>9.7558947325016521E-2</v>
      </c>
      <c r="AG48">
        <f>1-AF48-Sheet4!M50</f>
        <v>0.24118305679685381</v>
      </c>
    </row>
    <row r="49" spans="1:33" x14ac:dyDescent="0.3">
      <c r="A49">
        <f t="shared" si="3"/>
        <v>1939</v>
      </c>
      <c r="B49" s="2">
        <v>304680</v>
      </c>
      <c r="C49" s="2">
        <v>244403</v>
      </c>
      <c r="D49" s="2">
        <v>13893</v>
      </c>
      <c r="E49" s="10">
        <f t="shared" si="4"/>
        <v>0.37453496522348628</v>
      </c>
      <c r="F49" s="2">
        <f t="shared" si="0"/>
        <v>230510</v>
      </c>
      <c r="G49">
        <v>235</v>
      </c>
      <c r="H49">
        <v>27617</v>
      </c>
      <c r="I49" s="2">
        <v>40305</v>
      </c>
      <c r="J49" s="2">
        <v>37094</v>
      </c>
      <c r="K49" s="2">
        <v>35359</v>
      </c>
      <c r="L49" s="2">
        <v>33420</v>
      </c>
      <c r="M49" s="2">
        <v>10848</v>
      </c>
      <c r="N49" s="2">
        <f t="shared" si="1"/>
        <v>181066</v>
      </c>
      <c r="O49" s="7">
        <v>5859</v>
      </c>
      <c r="P49" s="10">
        <f t="shared" si="5"/>
        <v>3.2358366562468932E-2</v>
      </c>
      <c r="Q49" s="10">
        <v>209.4</v>
      </c>
      <c r="R49" s="10">
        <f t="shared" si="9"/>
        <v>8.553654743390357E-2</v>
      </c>
      <c r="S49" s="3">
        <v>2.5644168019853548E-2</v>
      </c>
      <c r="T49">
        <v>8.4576460950970225E-2</v>
      </c>
      <c r="U49" s="3">
        <f>(T49*N49)/Sheet2!P48</f>
        <v>7.8815591258067697E-2</v>
      </c>
      <c r="V49" s="7">
        <v>74645</v>
      </c>
      <c r="W49" s="7">
        <v>11396</v>
      </c>
      <c r="X49" s="7">
        <f t="shared" si="6"/>
        <v>86041</v>
      </c>
      <c r="Y49">
        <f t="shared" si="7"/>
        <v>1939</v>
      </c>
      <c r="Z49" s="29">
        <v>8.4978879150271937E-3</v>
      </c>
      <c r="AA49" s="27">
        <v>3.0058333333333334</v>
      </c>
      <c r="AB49" s="29">
        <v>2.86921193296951E-2</v>
      </c>
      <c r="AC49" s="29">
        <v>2.86921193296951E-2</v>
      </c>
      <c r="AD49">
        <f t="shared" si="2"/>
        <v>0.3951452690574872</v>
      </c>
      <c r="AE49">
        <f t="shared" si="8"/>
        <v>2.1756221248360529E-2</v>
      </c>
      <c r="AF49">
        <f>(AD49*J49+(AE49*X48))/Sheet2!P48</f>
        <v>8.4454854903627419E-2</v>
      </c>
      <c r="AG49">
        <f>1-AF49-Sheet4!M51</f>
        <v>0.29727313108608566</v>
      </c>
    </row>
    <row r="50" spans="1:33" x14ac:dyDescent="0.3">
      <c r="R50" s="10"/>
      <c r="V50" s="7"/>
      <c r="W50" s="7"/>
      <c r="X50" s="7"/>
      <c r="Z50" s="29"/>
    </row>
    <row r="51" spans="1:33" x14ac:dyDescent="0.3">
      <c r="V51" s="7"/>
      <c r="W51" s="7"/>
      <c r="X51" s="7"/>
    </row>
    <row r="52" spans="1:33" x14ac:dyDescent="0.3">
      <c r="V52" s="7"/>
      <c r="W52" s="7"/>
      <c r="X52" s="7"/>
    </row>
    <row r="53" spans="1:33" x14ac:dyDescent="0.3">
      <c r="V53" s="7"/>
      <c r="W53" s="7"/>
      <c r="X53" s="7"/>
    </row>
    <row r="54" spans="1:33" x14ac:dyDescent="0.3">
      <c r="V54" s="7"/>
      <c r="W54" s="7"/>
      <c r="X54" s="7"/>
    </row>
    <row r="55" spans="1:33" x14ac:dyDescent="0.3">
      <c r="V55" s="7"/>
      <c r="W55" s="7"/>
      <c r="X55" s="7"/>
    </row>
    <row r="56" spans="1:33" x14ac:dyDescent="0.3">
      <c r="V56" s="7"/>
      <c r="W56" s="7"/>
      <c r="X56" s="7"/>
    </row>
  </sheetData>
  <pageMargins left="0.7" right="0.7" top="0.75" bottom="0.75" header="0.3" footer="0.3"/>
  <pageSetup scale="6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58"/>
  <sheetViews>
    <sheetView topLeftCell="V1" workbookViewId="0">
      <selection activeCell="J1" sqref="J1"/>
    </sheetView>
  </sheetViews>
  <sheetFormatPr defaultRowHeight="14.4" x14ac:dyDescent="0.3"/>
  <cols>
    <col min="1" max="1" width="12.6640625" customWidth="1"/>
    <col min="2" max="2" width="8.5546875" customWidth="1"/>
    <col min="3" max="3" width="9" customWidth="1"/>
    <col min="4" max="4" width="8.21875" customWidth="1"/>
    <col min="5" max="5" width="9.88671875" customWidth="1"/>
    <col min="6" max="6" width="7.88671875" customWidth="1"/>
    <col min="8" max="8" width="6.88671875" customWidth="1"/>
    <col min="9" max="9" width="9.44140625" customWidth="1"/>
    <col min="10" max="10" width="10.109375" customWidth="1"/>
    <col min="11" max="11" width="8.33203125" customWidth="1"/>
    <col min="12" max="12" width="8.77734375" customWidth="1"/>
    <col min="13" max="13" width="8.5546875" customWidth="1"/>
    <col min="14" max="14" width="8.21875" customWidth="1"/>
    <col min="15" max="15" width="8.109375" customWidth="1"/>
    <col min="16" max="16" width="9.6640625" customWidth="1"/>
    <col min="17" max="18" width="8.109375" customWidth="1"/>
    <col min="20" max="21" width="11.33203125" customWidth="1"/>
    <col min="23" max="23" width="9.44140625" customWidth="1"/>
    <col min="24" max="24" width="9.6640625" customWidth="1"/>
    <col min="26" max="26" width="12.109375" customWidth="1"/>
    <col min="27" max="27" width="16.44140625" customWidth="1"/>
    <col min="28" max="29" width="12.88671875" customWidth="1"/>
    <col min="30" max="30" width="7.5546875" customWidth="1"/>
    <col min="31" max="31" width="8.33203125" customWidth="1"/>
    <col min="32" max="32" width="11" customWidth="1"/>
    <col min="35" max="35" width="10.109375" customWidth="1"/>
    <col min="36" max="36" width="10.5546875" customWidth="1"/>
    <col min="37" max="37" width="11.6640625" customWidth="1"/>
    <col min="39" max="39" width="9.21875" bestFit="1" customWidth="1"/>
  </cols>
  <sheetData>
    <row r="1" spans="1:39" ht="115.8" x14ac:dyDescent="0.35">
      <c r="A1" s="14" t="s">
        <v>17</v>
      </c>
      <c r="B1" s="1" t="s">
        <v>18</v>
      </c>
      <c r="C1" s="1" t="s">
        <v>19</v>
      </c>
      <c r="D1" s="1" t="s">
        <v>20</v>
      </c>
      <c r="E1" s="1" t="s">
        <v>4</v>
      </c>
      <c r="F1" s="1" t="s">
        <v>3</v>
      </c>
      <c r="G1" s="1" t="s">
        <v>5</v>
      </c>
      <c r="H1" s="1" t="s">
        <v>1</v>
      </c>
      <c r="I1" s="8" t="s">
        <v>16</v>
      </c>
      <c r="J1" s="8" t="s">
        <v>24</v>
      </c>
      <c r="K1" s="1" t="s">
        <v>13</v>
      </c>
      <c r="L1" s="1" t="s">
        <v>8</v>
      </c>
      <c r="M1" s="1" t="s">
        <v>21</v>
      </c>
      <c r="N1" s="1" t="s">
        <v>7</v>
      </c>
      <c r="O1" s="8" t="s">
        <v>2</v>
      </c>
      <c r="P1" s="8" t="s">
        <v>23</v>
      </c>
      <c r="Q1" s="8" t="s">
        <v>59</v>
      </c>
      <c r="R1" s="8" t="s">
        <v>22</v>
      </c>
      <c r="S1" s="8" t="s">
        <v>41</v>
      </c>
      <c r="T1" s="8" t="s">
        <v>36</v>
      </c>
      <c r="U1" s="14" t="s">
        <v>38</v>
      </c>
      <c r="V1" s="8" t="s">
        <v>25</v>
      </c>
      <c r="W1" s="8" t="s">
        <v>37</v>
      </c>
      <c r="X1" s="8" t="s">
        <v>28</v>
      </c>
      <c r="Y1" s="8" t="s">
        <v>29</v>
      </c>
      <c r="Z1" s="14" t="s">
        <v>17</v>
      </c>
      <c r="AA1" s="8" t="s">
        <v>43</v>
      </c>
      <c r="AB1" s="8" t="s">
        <v>39</v>
      </c>
      <c r="AC1" s="8" t="s">
        <v>35</v>
      </c>
      <c r="AD1" s="8" t="s">
        <v>44</v>
      </c>
      <c r="AE1" s="8" t="s">
        <v>40</v>
      </c>
      <c r="AF1" s="8" t="s">
        <v>42</v>
      </c>
      <c r="AG1" s="1" t="s">
        <v>9</v>
      </c>
      <c r="AH1" s="1" t="s">
        <v>26</v>
      </c>
      <c r="AI1" s="16" t="s">
        <v>27</v>
      </c>
      <c r="AJ1" s="13" t="s">
        <v>32</v>
      </c>
      <c r="AK1" s="1" t="s">
        <v>45</v>
      </c>
      <c r="AL1" s="8"/>
      <c r="AM1" s="1"/>
    </row>
    <row r="2" spans="1:39" ht="15.6" x14ac:dyDescent="0.3">
      <c r="B2" s="5"/>
      <c r="C2" s="5"/>
      <c r="D2" s="4" t="s">
        <v>15</v>
      </c>
      <c r="E2" s="5"/>
      <c r="F2" s="2"/>
      <c r="K2" s="2"/>
      <c r="M2" s="2"/>
      <c r="O2" s="10"/>
      <c r="P2" s="10"/>
      <c r="Q2" s="10"/>
      <c r="R2" s="10"/>
      <c r="S2" s="10"/>
      <c r="T2" s="10"/>
      <c r="V2" s="10"/>
      <c r="W2" s="10"/>
      <c r="X2" s="10"/>
      <c r="Y2" s="10"/>
      <c r="AA2" s="10"/>
      <c r="AB2" s="10"/>
      <c r="AC2" s="10"/>
      <c r="AD2" s="10"/>
      <c r="AE2" s="9"/>
      <c r="AF2" s="9"/>
      <c r="AG2" s="4"/>
      <c r="AI2" s="15"/>
      <c r="AJ2" s="12"/>
      <c r="AK2" s="3"/>
      <c r="AL2" s="3"/>
      <c r="AM2" s="3"/>
    </row>
    <row r="3" spans="1:39" x14ac:dyDescent="0.3">
      <c r="A3">
        <v>1894</v>
      </c>
      <c r="B3" s="2">
        <v>13264</v>
      </c>
      <c r="C3" s="2">
        <v>302</v>
      </c>
      <c r="D3" s="2">
        <f>B3-C3</f>
        <v>12962</v>
      </c>
      <c r="E3" s="2">
        <v>12384</v>
      </c>
      <c r="F3" s="2">
        <v>547</v>
      </c>
      <c r="G3" s="2">
        <f>E3-F3</f>
        <v>11837</v>
      </c>
      <c r="H3" s="2">
        <v>465</v>
      </c>
      <c r="I3">
        <v>2394</v>
      </c>
      <c r="J3">
        <v>2394</v>
      </c>
      <c r="K3" s="2">
        <v>29161</v>
      </c>
      <c r="L3" s="2">
        <v>5079</v>
      </c>
      <c r="M3" s="2">
        <f>K3-L3</f>
        <v>24082</v>
      </c>
      <c r="N3" s="2">
        <v>8750</v>
      </c>
      <c r="O3" s="10">
        <f>N3/M3</f>
        <v>0.36334191512332864</v>
      </c>
      <c r="P3" s="15">
        <f>Sheet1!B4-Sheet1!C4+Sheet1!D4+Sheet2!J3</f>
        <v>3098</v>
      </c>
      <c r="Q3" s="10">
        <f>J3/P3</f>
        <v>0.77275661717236932</v>
      </c>
      <c r="R3" s="10">
        <f>(P3-J3-1.4*H3/O3-F3)/P3</f>
        <v>-0.52766326662362806</v>
      </c>
      <c r="S3" s="10">
        <f>Q3/(1-R3)</f>
        <v>0.50584224551021695</v>
      </c>
      <c r="T3" s="10">
        <f t="shared" ref="T3:T48" si="0">Q3/(1-((P3-J3-1.4*H3/O3-F3)/P3))</f>
        <v>0.50584224551021695</v>
      </c>
      <c r="U3">
        <v>1894</v>
      </c>
      <c r="V3" s="10">
        <f t="shared" ref="V3:V50" si="1">R3</f>
        <v>-0.52766326662362806</v>
      </c>
      <c r="W3" s="10">
        <f t="shared" ref="W3:W48" si="2">(P3-J3-(1.4)*H3/O3-F3)/P3</f>
        <v>-0.52766326662362806</v>
      </c>
      <c r="X3" s="10">
        <f>1-Q3/(0.65)</f>
        <v>-0.1888563341113374</v>
      </c>
      <c r="Y3" s="10">
        <f t="shared" ref="Y3:Y48" si="3">1-(I3/P3)/(0.69)</f>
        <v>-0.11993712633676723</v>
      </c>
      <c r="Z3">
        <v>1894</v>
      </c>
      <c r="AA3" s="10">
        <v>1</v>
      </c>
      <c r="AB3" s="10">
        <v>1</v>
      </c>
      <c r="AC3" s="10">
        <v>1</v>
      </c>
      <c r="AD3" s="10">
        <f>1/AA3</f>
        <v>1</v>
      </c>
      <c r="AE3" s="10">
        <f>1/AB3</f>
        <v>1</v>
      </c>
      <c r="AF3" s="10">
        <f>1/AC3</f>
        <v>1</v>
      </c>
      <c r="AG3" s="2">
        <v>12962</v>
      </c>
      <c r="AH3">
        <v>72.400000000000006</v>
      </c>
      <c r="AI3" s="15">
        <f>(AG3/AH3)*100</f>
        <v>17903.314917127071</v>
      </c>
      <c r="AJ3" s="17">
        <f>AA3+1</f>
        <v>2</v>
      </c>
      <c r="AK3" s="3"/>
      <c r="AL3" s="3"/>
      <c r="AM3" s="3"/>
    </row>
    <row r="4" spans="1:39" x14ac:dyDescent="0.3">
      <c r="A4">
        <f t="shared" ref="A4:A48" si="4">A3 +1</f>
        <v>1895</v>
      </c>
      <c r="B4" s="2">
        <v>13737</v>
      </c>
      <c r="C4" s="2">
        <v>421</v>
      </c>
      <c r="D4" s="2">
        <f t="shared" ref="D4:D48" si="5">B4-C4</f>
        <v>13316</v>
      </c>
      <c r="E4" s="2">
        <v>12421</v>
      </c>
      <c r="F4" s="2">
        <v>661</v>
      </c>
      <c r="G4" s="2">
        <f t="shared" ref="G4:G48" si="6">E4-F4</f>
        <v>11760</v>
      </c>
      <c r="H4">
        <v>438</v>
      </c>
      <c r="I4">
        <v>2540.4</v>
      </c>
      <c r="J4">
        <v>2540.4</v>
      </c>
      <c r="K4" s="2">
        <v>30046</v>
      </c>
      <c r="L4" s="2">
        <v>5479</v>
      </c>
      <c r="M4" s="2">
        <f t="shared" ref="M4:M48" si="7">K4-L4</f>
        <v>24567</v>
      </c>
      <c r="N4" s="2">
        <v>8750</v>
      </c>
      <c r="O4" s="10">
        <f t="shared" ref="O4:O48" si="8">N4/M4</f>
        <v>0.35616884438474378</v>
      </c>
      <c r="P4" s="15">
        <f>Sheet1!B5-Sheet1!C5+Sheet1!D5+Sheet2!J4</f>
        <v>3510.4</v>
      </c>
      <c r="Q4" s="10">
        <f t="shared" ref="Q4:Q48" si="9">J4/P4</f>
        <v>0.7236782133090246</v>
      </c>
      <c r="R4" s="10">
        <f t="shared" ref="R4:R48" si="10">(P4-J4-1.4*H4/O4-F4)/P4</f>
        <v>-0.40242005469462161</v>
      </c>
      <c r="S4" s="10">
        <f t="shared" ref="S4:S50" si="11">Q4/(1-R4)</f>
        <v>0.51602101017202462</v>
      </c>
      <c r="T4" s="10">
        <f t="shared" si="0"/>
        <v>0.51602101017202462</v>
      </c>
      <c r="U4">
        <f t="shared" ref="U4:U48" si="12">U3 +1</f>
        <v>1895</v>
      </c>
      <c r="V4" s="10">
        <f t="shared" si="1"/>
        <v>-0.40242005469462161</v>
      </c>
      <c r="W4" s="10">
        <f t="shared" si="2"/>
        <v>-0.40242005469462161</v>
      </c>
      <c r="X4" s="10">
        <f t="shared" ref="X4:X24" si="13">1-Q4/(0.65)</f>
        <v>-0.11335109739849925</v>
      </c>
      <c r="Y4" s="10">
        <f t="shared" si="3"/>
        <v>-4.8809004795687949E-2</v>
      </c>
      <c r="Z4">
        <f t="shared" ref="Z4:Z48" si="14">Z3 +1</f>
        <v>1895</v>
      </c>
      <c r="AA4" s="10">
        <f>POWER((20/19)*(1-X4),-1/X4)</f>
        <v>4.0543497411990952</v>
      </c>
      <c r="AB4" s="10">
        <f>POWER((40/39)*(1-X4),-1/X4)</f>
        <v>3.2240256016130728</v>
      </c>
      <c r="AC4" s="10">
        <f>POWER((30/29)*(1-X4),-1/X4)</f>
        <v>3.4776535909304025</v>
      </c>
      <c r="AD4" s="10">
        <v>1</v>
      </c>
      <c r="AE4" s="10">
        <f t="shared" ref="AE4:AE49" si="15">1/AB4</f>
        <v>0.31017123421714493</v>
      </c>
      <c r="AF4" s="10">
        <f t="shared" ref="AF4:AF48" si="16">1/AC4</f>
        <v>0.2875502041399306</v>
      </c>
      <c r="AG4" s="2">
        <v>13316</v>
      </c>
      <c r="AH4">
        <v>72.5</v>
      </c>
      <c r="AI4" s="15">
        <f t="shared" ref="AI4:AI48" si="17">(AG4/AH4)*100</f>
        <v>18366.896551724138</v>
      </c>
      <c r="AJ4" s="17">
        <f t="shared" ref="AJ4:AJ50" si="18">AA4+1</f>
        <v>5.0543497411990952</v>
      </c>
      <c r="AK4" s="12">
        <f>1/2*(AD3+AD4)</f>
        <v>1</v>
      </c>
      <c r="AL4" s="3"/>
      <c r="AM4" s="3"/>
    </row>
    <row r="5" spans="1:39" x14ac:dyDescent="0.3">
      <c r="A5">
        <f t="shared" si="4"/>
        <v>1896</v>
      </c>
      <c r="B5" s="2">
        <v>13328</v>
      </c>
      <c r="C5" s="2">
        <v>507</v>
      </c>
      <c r="D5" s="2">
        <f t="shared" si="5"/>
        <v>12821</v>
      </c>
      <c r="E5" s="2">
        <v>11937</v>
      </c>
      <c r="F5" s="2">
        <v>509</v>
      </c>
      <c r="G5" s="2">
        <f t="shared" si="6"/>
        <v>11428</v>
      </c>
      <c r="H5">
        <v>431</v>
      </c>
      <c r="I5">
        <v>2590.1</v>
      </c>
      <c r="J5">
        <v>2590.1</v>
      </c>
      <c r="K5" s="2">
        <v>30424</v>
      </c>
      <c r="L5" s="2">
        <v>8546</v>
      </c>
      <c r="M5" s="2">
        <f t="shared" si="7"/>
        <v>21878</v>
      </c>
      <c r="N5" s="2">
        <v>8000</v>
      </c>
      <c r="O5" s="10">
        <f t="shared" si="8"/>
        <v>0.36566413748971571</v>
      </c>
      <c r="P5" s="15">
        <f>Sheet1!B6-Sheet1!C6+Sheet1!D6+Sheet2!J5</f>
        <v>3703.1</v>
      </c>
      <c r="Q5" s="10">
        <f t="shared" si="9"/>
        <v>0.69944100888444816</v>
      </c>
      <c r="R5" s="10">
        <f t="shared" si="10"/>
        <v>-0.28250604898598464</v>
      </c>
      <c r="S5" s="10">
        <f t="shared" si="11"/>
        <v>0.54537053407074543</v>
      </c>
      <c r="T5" s="10">
        <f t="shared" si="0"/>
        <v>0.54537053407074543</v>
      </c>
      <c r="U5">
        <f t="shared" si="12"/>
        <v>1896</v>
      </c>
      <c r="V5" s="10">
        <f t="shared" si="1"/>
        <v>-0.28250604898598464</v>
      </c>
      <c r="W5" s="10">
        <f t="shared" si="2"/>
        <v>-0.28250604898598464</v>
      </c>
      <c r="X5" s="10">
        <f t="shared" si="13"/>
        <v>-7.6063090591458771E-2</v>
      </c>
      <c r="Y5" s="10">
        <f t="shared" si="3"/>
        <v>-1.3682621571664111E-2</v>
      </c>
      <c r="Z5">
        <f t="shared" si="14"/>
        <v>1896</v>
      </c>
      <c r="AA5" s="10">
        <v>1</v>
      </c>
      <c r="AB5" s="10">
        <v>1</v>
      </c>
      <c r="AC5" s="10">
        <v>1</v>
      </c>
      <c r="AD5" s="10">
        <f t="shared" ref="AD5:AD48" si="19">1/AA5</f>
        <v>1</v>
      </c>
      <c r="AE5" s="10">
        <f t="shared" si="15"/>
        <v>1</v>
      </c>
      <c r="AF5" s="10">
        <f t="shared" si="16"/>
        <v>1</v>
      </c>
      <c r="AG5" s="2">
        <v>12821</v>
      </c>
      <c r="AH5">
        <v>70.099999999999994</v>
      </c>
      <c r="AI5" s="15">
        <f t="shared" si="17"/>
        <v>18289.586305278175</v>
      </c>
      <c r="AJ5" s="17">
        <f t="shared" si="18"/>
        <v>2</v>
      </c>
      <c r="AK5" s="12">
        <f t="shared" ref="AK5:AK48" si="20">1/2*(AD4+AD5)</f>
        <v>1</v>
      </c>
      <c r="AL5" s="3"/>
      <c r="AM5" s="3"/>
    </row>
    <row r="6" spans="1:39" x14ac:dyDescent="0.3">
      <c r="A6">
        <f t="shared" si="4"/>
        <v>1897</v>
      </c>
      <c r="B6" s="2">
        <v>13045</v>
      </c>
      <c r="C6" s="2">
        <v>520</v>
      </c>
      <c r="D6" s="2">
        <f t="shared" si="5"/>
        <v>12525</v>
      </c>
      <c r="E6" s="2">
        <v>11481</v>
      </c>
      <c r="F6" s="2">
        <v>439</v>
      </c>
      <c r="G6" s="2">
        <f t="shared" si="6"/>
        <v>11042</v>
      </c>
      <c r="H6">
        <v>333</v>
      </c>
      <c r="I6">
        <v>2519.4</v>
      </c>
      <c r="J6">
        <v>2519.4</v>
      </c>
      <c r="K6" s="2">
        <v>29550</v>
      </c>
      <c r="L6" s="2">
        <v>7456</v>
      </c>
      <c r="M6" s="2">
        <f t="shared" si="7"/>
        <v>22094</v>
      </c>
      <c r="N6" s="2">
        <v>7000</v>
      </c>
      <c r="O6" s="10">
        <f t="shared" si="8"/>
        <v>0.31682809812618812</v>
      </c>
      <c r="P6" s="15">
        <f>Sheet1!B7-Sheet1!C7+Sheet1!D7+Sheet2!J6</f>
        <v>4124.3999999999996</v>
      </c>
      <c r="Q6" s="10">
        <f t="shared" si="9"/>
        <v>0.61085248763456512</v>
      </c>
      <c r="R6" s="10">
        <f t="shared" si="10"/>
        <v>-7.4061778682960044E-2</v>
      </c>
      <c r="S6" s="10">
        <f t="shared" si="11"/>
        <v>0.56873124037949374</v>
      </c>
      <c r="T6" s="10">
        <f t="shared" si="0"/>
        <v>0.56873124037949374</v>
      </c>
      <c r="U6">
        <f t="shared" si="12"/>
        <v>1897</v>
      </c>
      <c r="V6" s="10">
        <f t="shared" si="1"/>
        <v>-7.4061778682960044E-2</v>
      </c>
      <c r="W6" s="10">
        <f t="shared" si="2"/>
        <v>-7.4061778682960044E-2</v>
      </c>
      <c r="X6" s="10">
        <f t="shared" si="13"/>
        <v>6.0226942100669034E-2</v>
      </c>
      <c r="Y6" s="10">
        <f t="shared" si="3"/>
        <v>0.11470653966005051</v>
      </c>
      <c r="Z6">
        <f t="shared" si="14"/>
        <v>1897</v>
      </c>
      <c r="AA6" s="10">
        <f t="shared" ref="AA6:AA16" si="21">POWER((20/19)*(1-X6),-1/X6)</f>
        <v>1.1968738468084805</v>
      </c>
      <c r="AB6" s="10">
        <f t="shared" ref="AB6:AB16" si="22">POWER((40/39)*(1-X6),-1/X6)</f>
        <v>1.8422847117560603</v>
      </c>
      <c r="AC6" s="10">
        <f t="shared" ref="AC6:AC16" si="23">POWER((30/29)*(1-X6),-1/X6)</f>
        <v>1.5975691190842747</v>
      </c>
      <c r="AD6" s="10">
        <v>1</v>
      </c>
      <c r="AE6" s="10">
        <f t="shared" si="15"/>
        <v>0.54280426560496342</v>
      </c>
      <c r="AF6" s="10">
        <v>1</v>
      </c>
      <c r="AG6" s="2">
        <v>12525</v>
      </c>
      <c r="AH6">
        <v>71.2</v>
      </c>
      <c r="AI6" s="15">
        <f t="shared" si="17"/>
        <v>17591.292134831459</v>
      </c>
      <c r="AJ6" s="17">
        <f t="shared" si="18"/>
        <v>2.1968738468084803</v>
      </c>
      <c r="AK6" s="12">
        <f t="shared" si="20"/>
        <v>1</v>
      </c>
      <c r="AL6" s="3"/>
      <c r="AM6" s="3"/>
    </row>
    <row r="7" spans="1:39" x14ac:dyDescent="0.3">
      <c r="A7">
        <f t="shared" si="4"/>
        <v>1898</v>
      </c>
      <c r="B7" s="2">
        <v>17261</v>
      </c>
      <c r="C7" s="2">
        <v>789</v>
      </c>
      <c r="D7" s="2">
        <f t="shared" si="5"/>
        <v>16472</v>
      </c>
      <c r="E7" s="2">
        <v>13364</v>
      </c>
      <c r="F7" s="2">
        <v>898</v>
      </c>
      <c r="G7" s="2">
        <f t="shared" si="6"/>
        <v>12466</v>
      </c>
      <c r="H7">
        <v>290</v>
      </c>
      <c r="I7">
        <v>3960</v>
      </c>
      <c r="J7">
        <v>3960</v>
      </c>
      <c r="K7" s="2">
        <v>27175</v>
      </c>
      <c r="L7" s="2">
        <v>7226</v>
      </c>
      <c r="M7" s="2">
        <f t="shared" si="7"/>
        <v>19949</v>
      </c>
      <c r="N7" s="2">
        <v>6350</v>
      </c>
      <c r="O7" s="10">
        <f t="shared" si="8"/>
        <v>0.31831169482179555</v>
      </c>
      <c r="P7" s="15">
        <f>Sheet1!B8-Sheet1!C8+Sheet1!D8+Sheet2!J7</f>
        <v>7173</v>
      </c>
      <c r="Q7" s="10">
        <f t="shared" si="9"/>
        <v>0.5520702634880803</v>
      </c>
      <c r="R7" s="10">
        <f t="shared" si="10"/>
        <v>0.14492132021765786</v>
      </c>
      <c r="S7" s="10">
        <f t="shared" si="11"/>
        <v>0.64563680108198718</v>
      </c>
      <c r="T7" s="10">
        <f t="shared" si="0"/>
        <v>0.64563680108198718</v>
      </c>
      <c r="U7">
        <f t="shared" si="12"/>
        <v>1898</v>
      </c>
      <c r="V7" s="10">
        <f t="shared" si="1"/>
        <v>0.14492132021765786</v>
      </c>
      <c r="W7" s="10">
        <f t="shared" si="2"/>
        <v>0.14492132021765786</v>
      </c>
      <c r="X7" s="10">
        <f t="shared" si="13"/>
        <v>0.15066113309526108</v>
      </c>
      <c r="Y7" s="10">
        <f t="shared" si="3"/>
        <v>0.19989816885785461</v>
      </c>
      <c r="Z7">
        <f t="shared" si="14"/>
        <v>1898</v>
      </c>
      <c r="AA7" s="10">
        <f t="shared" si="21"/>
        <v>2.1031053019652686</v>
      </c>
      <c r="AB7" s="10">
        <f t="shared" si="22"/>
        <v>2.4988358681656027</v>
      </c>
      <c r="AC7" s="10">
        <f t="shared" si="23"/>
        <v>2.3604472836129138</v>
      </c>
      <c r="AD7" s="10">
        <f t="shared" si="19"/>
        <v>0.47548736578503209</v>
      </c>
      <c r="AE7" s="10">
        <f t="shared" si="15"/>
        <v>0.40018634786689722</v>
      </c>
      <c r="AF7" s="10">
        <f t="shared" si="16"/>
        <v>0.42364852074535397</v>
      </c>
      <c r="AG7" s="2">
        <v>16472</v>
      </c>
      <c r="AH7">
        <v>73.599999999999994</v>
      </c>
      <c r="AI7" s="15">
        <f t="shared" si="17"/>
        <v>22380.434782608696</v>
      </c>
      <c r="AJ7" s="17">
        <f t="shared" si="18"/>
        <v>3.1031053019652686</v>
      </c>
      <c r="AK7" s="12">
        <f t="shared" si="20"/>
        <v>0.73774368289251602</v>
      </c>
      <c r="AL7" s="3"/>
      <c r="AM7" s="3"/>
    </row>
    <row r="8" spans="1:39" x14ac:dyDescent="0.3">
      <c r="A8">
        <f t="shared" si="4"/>
        <v>1899</v>
      </c>
      <c r="B8" s="2">
        <v>24406</v>
      </c>
      <c r="C8" s="2">
        <v>1158</v>
      </c>
      <c r="D8" s="2">
        <f t="shared" si="5"/>
        <v>23248</v>
      </c>
      <c r="E8" s="2">
        <v>18927</v>
      </c>
      <c r="F8" s="2">
        <v>1330</v>
      </c>
      <c r="G8" s="2">
        <f t="shared" si="6"/>
        <v>17597</v>
      </c>
      <c r="H8">
        <v>281</v>
      </c>
      <c r="I8">
        <v>5640</v>
      </c>
      <c r="J8">
        <v>5640</v>
      </c>
      <c r="K8" s="2">
        <v>29533</v>
      </c>
      <c r="L8" s="2">
        <v>6132</v>
      </c>
      <c r="M8" s="2">
        <f t="shared" si="7"/>
        <v>23401</v>
      </c>
      <c r="N8" s="2">
        <v>5500</v>
      </c>
      <c r="O8" s="10">
        <f t="shared" si="8"/>
        <v>0.23503269091064485</v>
      </c>
      <c r="P8" s="15">
        <f>Sheet1!B9-Sheet1!C9+Sheet1!D9+Sheet2!J8</f>
        <v>10422</v>
      </c>
      <c r="Q8" s="10">
        <f t="shared" si="9"/>
        <v>0.54116292458261372</v>
      </c>
      <c r="R8" s="10">
        <f t="shared" si="10"/>
        <v>0.17061891104481783</v>
      </c>
      <c r="S8" s="10">
        <f t="shared" si="11"/>
        <v>0.65249006975110435</v>
      </c>
      <c r="T8" s="10">
        <f t="shared" si="0"/>
        <v>0.65249006975110435</v>
      </c>
      <c r="U8">
        <f t="shared" si="12"/>
        <v>1899</v>
      </c>
      <c r="V8" s="10">
        <f t="shared" si="1"/>
        <v>0.17061891104481783</v>
      </c>
      <c r="W8" s="10">
        <f t="shared" si="2"/>
        <v>0.17061891104481783</v>
      </c>
      <c r="X8" s="10">
        <f t="shared" si="13"/>
        <v>0.16744165448828663</v>
      </c>
      <c r="Y8" s="10">
        <f t="shared" si="3"/>
        <v>0.21570590640200904</v>
      </c>
      <c r="Z8">
        <f t="shared" si="14"/>
        <v>1899</v>
      </c>
      <c r="AA8" s="10">
        <f t="shared" si="21"/>
        <v>2.1991865314108243</v>
      </c>
      <c r="AB8" s="10">
        <f t="shared" si="22"/>
        <v>2.568235536650473</v>
      </c>
      <c r="AC8" s="10">
        <f t="shared" si="23"/>
        <v>2.4398950195760585</v>
      </c>
      <c r="AD8" s="10">
        <f t="shared" si="19"/>
        <v>0.45471358873704953</v>
      </c>
      <c r="AE8" s="10">
        <f t="shared" si="15"/>
        <v>0.38937238650011569</v>
      </c>
      <c r="AF8" s="10">
        <f t="shared" si="16"/>
        <v>0.40985369943242639</v>
      </c>
      <c r="AG8" s="2">
        <v>23248</v>
      </c>
      <c r="AH8">
        <v>78.5</v>
      </c>
      <c r="AI8" s="15">
        <f t="shared" si="17"/>
        <v>29615.286624203822</v>
      </c>
      <c r="AJ8" s="17">
        <f t="shared" si="18"/>
        <v>3.1991865314108243</v>
      </c>
      <c r="AK8" s="12">
        <f t="shared" si="20"/>
        <v>0.46510047726104081</v>
      </c>
      <c r="AL8" s="3"/>
      <c r="AM8" s="3"/>
    </row>
    <row r="9" spans="1:39" x14ac:dyDescent="0.3">
      <c r="A9">
        <f t="shared" si="4"/>
        <v>1900</v>
      </c>
      <c r="B9" s="2">
        <v>28829</v>
      </c>
      <c r="C9" s="2">
        <v>748</v>
      </c>
      <c r="D9" s="2">
        <f t="shared" si="5"/>
        <v>28081</v>
      </c>
      <c r="E9" s="2">
        <v>23585</v>
      </c>
      <c r="F9" s="2">
        <v>1567</v>
      </c>
      <c r="G9" s="2">
        <f t="shared" si="6"/>
        <v>22018</v>
      </c>
      <c r="H9">
        <v>240</v>
      </c>
      <c r="I9">
        <v>5796</v>
      </c>
      <c r="J9">
        <v>5796</v>
      </c>
      <c r="K9" s="2">
        <v>32952</v>
      </c>
      <c r="L9" s="2">
        <v>6012</v>
      </c>
      <c r="M9" s="2">
        <f t="shared" si="7"/>
        <v>26940</v>
      </c>
      <c r="N9" s="2">
        <v>3517</v>
      </c>
      <c r="O9" s="10">
        <f t="shared" si="8"/>
        <v>0.1305493689680772</v>
      </c>
      <c r="P9" s="15">
        <f>Sheet1!B10-Sheet1!C10+Sheet1!D10+Sheet2!J9</f>
        <v>12561</v>
      </c>
      <c r="Q9" s="10">
        <f t="shared" si="9"/>
        <v>0.46142823023644614</v>
      </c>
      <c r="R9" s="10">
        <f t="shared" si="10"/>
        <v>0.208921345268131</v>
      </c>
      <c r="S9" s="10">
        <f t="shared" si="11"/>
        <v>0.58328995160771246</v>
      </c>
      <c r="T9" s="10">
        <f t="shared" si="0"/>
        <v>0.58328995160771246</v>
      </c>
      <c r="U9">
        <f t="shared" si="12"/>
        <v>1900</v>
      </c>
      <c r="V9" s="10">
        <f t="shared" si="1"/>
        <v>0.208921345268131</v>
      </c>
      <c r="W9" s="10">
        <f t="shared" si="2"/>
        <v>0.208921345268131</v>
      </c>
      <c r="X9" s="10">
        <f t="shared" si="13"/>
        <v>0.29011041502085211</v>
      </c>
      <c r="Y9" s="10">
        <f t="shared" si="3"/>
        <v>0.33126343443993311</v>
      </c>
      <c r="Z9">
        <f t="shared" si="14"/>
        <v>1900</v>
      </c>
      <c r="AA9" s="10">
        <f t="shared" si="21"/>
        <v>2.7299452718617139</v>
      </c>
      <c r="AB9" s="10">
        <f t="shared" si="22"/>
        <v>2.9856518987801963</v>
      </c>
      <c r="AC9" s="10">
        <f t="shared" si="23"/>
        <v>2.8986069621253763</v>
      </c>
      <c r="AD9" s="10">
        <f t="shared" si="19"/>
        <v>0.36630770964798126</v>
      </c>
      <c r="AE9" s="10">
        <f t="shared" si="15"/>
        <v>0.33493522818536053</v>
      </c>
      <c r="AF9" s="10">
        <f t="shared" si="16"/>
        <v>0.34499330646289467</v>
      </c>
      <c r="AG9" s="2">
        <v>28081</v>
      </c>
      <c r="AH9">
        <v>83</v>
      </c>
      <c r="AI9" s="15">
        <f t="shared" si="17"/>
        <v>33832.530120481926</v>
      </c>
      <c r="AJ9" s="17">
        <f t="shared" si="18"/>
        <v>3.7299452718617139</v>
      </c>
      <c r="AK9" s="12">
        <f t="shared" si="20"/>
        <v>0.4105106491925154</v>
      </c>
      <c r="AL9" s="3"/>
      <c r="AM9" s="3"/>
    </row>
    <row r="10" spans="1:39" x14ac:dyDescent="0.3">
      <c r="A10">
        <f t="shared" si="4"/>
        <v>1901</v>
      </c>
      <c r="B10" s="2">
        <v>35910</v>
      </c>
      <c r="C10" s="2">
        <v>1373</v>
      </c>
      <c r="D10" s="2">
        <f t="shared" si="5"/>
        <v>34537</v>
      </c>
      <c r="E10" s="2">
        <v>25254</v>
      </c>
      <c r="F10" s="2">
        <v>1132</v>
      </c>
      <c r="G10" s="2">
        <f t="shared" si="6"/>
        <v>24122</v>
      </c>
      <c r="H10">
        <v>42</v>
      </c>
      <c r="I10">
        <v>7665</v>
      </c>
      <c r="J10">
        <v>7665</v>
      </c>
      <c r="K10" s="2">
        <v>41927</v>
      </c>
      <c r="L10" s="2">
        <v>9825</v>
      </c>
      <c r="M10" s="2">
        <f t="shared" si="7"/>
        <v>32102</v>
      </c>
      <c r="N10" s="2">
        <v>923</v>
      </c>
      <c r="O10" s="10">
        <f t="shared" si="8"/>
        <v>2.8752102672730671E-2</v>
      </c>
      <c r="P10" s="15">
        <f>Sheet1!B11-Sheet1!C11+Sheet1!D11+Sheet2!J10</f>
        <v>15881</v>
      </c>
      <c r="Q10" s="10">
        <f t="shared" si="9"/>
        <v>0.482652225930357</v>
      </c>
      <c r="R10" s="10">
        <f t="shared" si="10"/>
        <v>0.31729312875017152</v>
      </c>
      <c r="S10" s="10">
        <f t="shared" si="11"/>
        <v>0.70696846077844167</v>
      </c>
      <c r="T10" s="10">
        <f t="shared" si="0"/>
        <v>0.70696846077844167</v>
      </c>
      <c r="U10">
        <f t="shared" si="12"/>
        <v>1901</v>
      </c>
      <c r="V10" s="10">
        <f t="shared" si="1"/>
        <v>0.31729312875017152</v>
      </c>
      <c r="W10" s="10">
        <f t="shared" si="2"/>
        <v>0.31729312875017152</v>
      </c>
      <c r="X10" s="10">
        <f t="shared" si="13"/>
        <v>0.25745811395329699</v>
      </c>
      <c r="Y10" s="10">
        <f t="shared" si="3"/>
        <v>0.30050402039078694</v>
      </c>
      <c r="Z10">
        <f t="shared" si="14"/>
        <v>1901</v>
      </c>
      <c r="AA10" s="10">
        <f t="shared" si="21"/>
        <v>2.6038254719722076</v>
      </c>
      <c r="AB10" s="10">
        <f t="shared" si="22"/>
        <v>2.8802404663912444</v>
      </c>
      <c r="AC10" s="10">
        <f t="shared" si="23"/>
        <v>2.785795404617847</v>
      </c>
      <c r="AD10" s="10">
        <f t="shared" si="19"/>
        <v>0.3840503177974417</v>
      </c>
      <c r="AE10" s="10">
        <f t="shared" si="15"/>
        <v>0.3471932332278268</v>
      </c>
      <c r="AF10" s="10">
        <f t="shared" si="16"/>
        <v>0.35896390608669954</v>
      </c>
      <c r="AG10" s="2">
        <v>34537</v>
      </c>
      <c r="AH10">
        <v>81.5</v>
      </c>
      <c r="AI10" s="15">
        <f t="shared" si="17"/>
        <v>42376.687116564412</v>
      </c>
      <c r="AJ10" s="17">
        <f t="shared" si="18"/>
        <v>3.6038254719722076</v>
      </c>
      <c r="AK10" s="12">
        <f t="shared" si="20"/>
        <v>0.37517901372271145</v>
      </c>
      <c r="AL10" s="3"/>
      <c r="AM10" s="3"/>
    </row>
    <row r="11" spans="1:39" x14ac:dyDescent="0.3">
      <c r="A11">
        <f t="shared" si="4"/>
        <v>1902</v>
      </c>
      <c r="B11" s="2">
        <v>39122</v>
      </c>
      <c r="C11" s="2">
        <v>1622</v>
      </c>
      <c r="D11" s="2">
        <f t="shared" si="5"/>
        <v>37500</v>
      </c>
      <c r="E11" s="2">
        <v>28845</v>
      </c>
      <c r="F11" s="2">
        <v>1908</v>
      </c>
      <c r="G11" s="2">
        <f t="shared" si="6"/>
        <v>26937</v>
      </c>
      <c r="H11">
        <v>77</v>
      </c>
      <c r="I11">
        <v>9666</v>
      </c>
      <c r="J11">
        <v>9666</v>
      </c>
      <c r="K11" s="2">
        <v>49894</v>
      </c>
      <c r="L11" s="2">
        <v>12682</v>
      </c>
      <c r="M11" s="2">
        <f t="shared" si="7"/>
        <v>37212</v>
      </c>
      <c r="N11" s="2">
        <v>2285</v>
      </c>
      <c r="O11" s="10">
        <f t="shared" si="8"/>
        <v>6.1404923143072131E-2</v>
      </c>
      <c r="P11" s="15">
        <f>Sheet1!B12-Sheet1!C12+Sheet1!D12+Sheet2!J11</f>
        <v>19415</v>
      </c>
      <c r="Q11" s="10">
        <f t="shared" si="9"/>
        <v>0.49786247746587692</v>
      </c>
      <c r="R11" s="10">
        <f t="shared" si="10"/>
        <v>0.31344014615692828</v>
      </c>
      <c r="S11" s="10">
        <f t="shared" si="11"/>
        <v>0.72515524273528853</v>
      </c>
      <c r="T11" s="10">
        <f t="shared" si="0"/>
        <v>0.72515524273528853</v>
      </c>
      <c r="U11">
        <f t="shared" si="12"/>
        <v>1902</v>
      </c>
      <c r="V11" s="10">
        <f t="shared" si="1"/>
        <v>0.31344014615692828</v>
      </c>
      <c r="W11" s="10">
        <f t="shared" si="2"/>
        <v>0.31344014615692828</v>
      </c>
      <c r="X11" s="10">
        <f t="shared" si="13"/>
        <v>0.23405772697557403</v>
      </c>
      <c r="Y11" s="10">
        <f t="shared" si="3"/>
        <v>0.27846017758568553</v>
      </c>
      <c r="Z11">
        <f t="shared" si="14"/>
        <v>1902</v>
      </c>
      <c r="AA11" s="10">
        <f t="shared" si="21"/>
        <v>2.5095270145207738</v>
      </c>
      <c r="AB11" s="10">
        <f t="shared" si="22"/>
        <v>2.8040737456455171</v>
      </c>
      <c r="AC11" s="10">
        <f t="shared" si="23"/>
        <v>2.7031010497477639</v>
      </c>
      <c r="AD11" s="10">
        <f t="shared" si="19"/>
        <v>0.39848146452050159</v>
      </c>
      <c r="AE11" s="10">
        <f t="shared" si="15"/>
        <v>0.35662400161654562</v>
      </c>
      <c r="AF11" s="10">
        <f t="shared" si="16"/>
        <v>0.36994547432598335</v>
      </c>
      <c r="AG11" s="2">
        <v>37500</v>
      </c>
      <c r="AH11">
        <v>86.9</v>
      </c>
      <c r="AI11" s="15">
        <f t="shared" si="17"/>
        <v>43153.049482163406</v>
      </c>
      <c r="AJ11" s="17">
        <f t="shared" si="18"/>
        <v>3.5095270145207738</v>
      </c>
      <c r="AK11" s="12">
        <f t="shared" si="20"/>
        <v>0.39126589115897165</v>
      </c>
      <c r="AL11" s="3"/>
      <c r="AM11" s="3"/>
    </row>
    <row r="12" spans="1:39" x14ac:dyDescent="0.3">
      <c r="A12">
        <f t="shared" si="4"/>
        <v>1903</v>
      </c>
      <c r="B12" s="2">
        <v>42784</v>
      </c>
      <c r="C12" s="2">
        <v>1085</v>
      </c>
      <c r="D12" s="2">
        <f t="shared" si="5"/>
        <v>41699</v>
      </c>
      <c r="E12" s="2">
        <v>34918</v>
      </c>
      <c r="F12" s="2">
        <v>2028</v>
      </c>
      <c r="G12" s="2">
        <f t="shared" si="6"/>
        <v>32890</v>
      </c>
      <c r="H12">
        <v>76</v>
      </c>
      <c r="I12">
        <v>9316</v>
      </c>
      <c r="J12">
        <v>9316</v>
      </c>
      <c r="K12" s="2">
        <v>55939</v>
      </c>
      <c r="L12" s="2">
        <v>14665</v>
      </c>
      <c r="M12" s="2">
        <f t="shared" si="7"/>
        <v>41274</v>
      </c>
      <c r="N12" s="2">
        <v>2131</v>
      </c>
      <c r="O12" s="10">
        <f t="shared" si="8"/>
        <v>5.1630566458303051E-2</v>
      </c>
      <c r="P12" s="15">
        <f>Sheet1!B13-Sheet1!C13+Sheet1!D13+Sheet2!J12</f>
        <v>18126</v>
      </c>
      <c r="Q12" s="10">
        <f t="shared" si="9"/>
        <v>0.51395785060134613</v>
      </c>
      <c r="R12" s="10">
        <f t="shared" si="10"/>
        <v>0.26046591943884334</v>
      </c>
      <c r="S12" s="10">
        <f t="shared" si="11"/>
        <v>0.69497520683746739</v>
      </c>
      <c r="T12" s="10">
        <f t="shared" si="0"/>
        <v>0.69497520683746739</v>
      </c>
      <c r="U12">
        <f t="shared" si="12"/>
        <v>1903</v>
      </c>
      <c r="V12" s="10">
        <f t="shared" si="1"/>
        <v>0.26046591943884334</v>
      </c>
      <c r="W12" s="10">
        <f t="shared" si="2"/>
        <v>0.26046591943884334</v>
      </c>
      <c r="X12" s="10">
        <f t="shared" si="13"/>
        <v>0.20929561445946754</v>
      </c>
      <c r="Y12" s="10">
        <f t="shared" si="3"/>
        <v>0.25513354985312153</v>
      </c>
      <c r="Z12">
        <f t="shared" si="14"/>
        <v>1903</v>
      </c>
      <c r="AA12" s="10">
        <f t="shared" si="21"/>
        <v>2.4035119589502321</v>
      </c>
      <c r="AB12" s="10">
        <f t="shared" si="22"/>
        <v>2.721110489392824</v>
      </c>
      <c r="AC12" s="10">
        <f t="shared" si="23"/>
        <v>2.6117683750781842</v>
      </c>
      <c r="AD12" s="10">
        <f t="shared" si="19"/>
        <v>0.41605784247346295</v>
      </c>
      <c r="AE12" s="10">
        <f t="shared" si="15"/>
        <v>0.36749702149108077</v>
      </c>
      <c r="AF12" s="10">
        <f t="shared" si="16"/>
        <v>0.38288234498209078</v>
      </c>
      <c r="AG12" s="2">
        <v>41699</v>
      </c>
      <c r="AH12">
        <v>85.9</v>
      </c>
      <c r="AI12" s="15">
        <f t="shared" si="17"/>
        <v>48543.655413271248</v>
      </c>
      <c r="AJ12" s="17">
        <f t="shared" si="18"/>
        <v>3.4035119589502321</v>
      </c>
      <c r="AK12" s="12">
        <f t="shared" si="20"/>
        <v>0.4072696534969823</v>
      </c>
      <c r="AL12" s="3"/>
      <c r="AM12" s="3"/>
    </row>
    <row r="13" spans="1:39" x14ac:dyDescent="0.3">
      <c r="A13">
        <f t="shared" si="4"/>
        <v>1904</v>
      </c>
      <c r="B13" s="2">
        <v>40323</v>
      </c>
      <c r="C13" s="2">
        <v>1092</v>
      </c>
      <c r="D13" s="2">
        <f t="shared" si="5"/>
        <v>39231</v>
      </c>
      <c r="E13" s="2">
        <v>33528</v>
      </c>
      <c r="F13" s="2">
        <v>1778</v>
      </c>
      <c r="G13" s="2">
        <f t="shared" si="6"/>
        <v>31750</v>
      </c>
      <c r="H13">
        <v>76</v>
      </c>
      <c r="I13">
        <v>9684</v>
      </c>
      <c r="J13">
        <v>9684</v>
      </c>
      <c r="K13" s="2">
        <v>61634</v>
      </c>
      <c r="L13" s="2">
        <v>14488</v>
      </c>
      <c r="M13" s="2">
        <f t="shared" si="7"/>
        <v>47146</v>
      </c>
      <c r="N13" s="2">
        <v>2127</v>
      </c>
      <c r="O13" s="10">
        <f t="shared" si="8"/>
        <v>4.5115174139905824E-2</v>
      </c>
      <c r="P13" s="15">
        <f>Sheet1!B14-Sheet1!C14+Sheet1!D14+Sheet2!J13</f>
        <v>17165</v>
      </c>
      <c r="Q13" s="10">
        <f t="shared" si="9"/>
        <v>0.56417127876492867</v>
      </c>
      <c r="R13" s="10">
        <f t="shared" si="10"/>
        <v>0.19484950337517537</v>
      </c>
      <c r="S13" s="10">
        <f t="shared" si="11"/>
        <v>0.70070288862755947</v>
      </c>
      <c r="T13" s="10">
        <f t="shared" si="0"/>
        <v>0.70070288862755947</v>
      </c>
      <c r="U13">
        <f t="shared" si="12"/>
        <v>1904</v>
      </c>
      <c r="V13" s="10">
        <f t="shared" si="1"/>
        <v>0.19484950337517537</v>
      </c>
      <c r="W13" s="10">
        <f t="shared" si="2"/>
        <v>0.19484950337517537</v>
      </c>
      <c r="X13" s="10">
        <f t="shared" si="13"/>
        <v>0.13204418651549432</v>
      </c>
      <c r="Y13" s="10">
        <f t="shared" si="3"/>
        <v>0.18236046555807428</v>
      </c>
      <c r="Z13">
        <f t="shared" si="14"/>
        <v>1904</v>
      </c>
      <c r="AA13" s="10">
        <f t="shared" si="21"/>
        <v>1.9818333876053913</v>
      </c>
      <c r="AB13" s="10">
        <f t="shared" si="22"/>
        <v>2.4126856553154981</v>
      </c>
      <c r="AC13" s="10">
        <f t="shared" si="23"/>
        <v>2.260834304092286</v>
      </c>
      <c r="AD13" s="10">
        <f t="shared" si="19"/>
        <v>0.50458328447492728</v>
      </c>
      <c r="AE13" s="10">
        <f t="shared" si="15"/>
        <v>0.41447587579295891</v>
      </c>
      <c r="AF13" s="10">
        <f t="shared" si="16"/>
        <v>0.44231459076409191</v>
      </c>
      <c r="AG13" s="2">
        <v>39231</v>
      </c>
      <c r="AH13">
        <v>86.2</v>
      </c>
      <c r="AI13" s="15">
        <f t="shared" si="17"/>
        <v>45511.600928074244</v>
      </c>
      <c r="AJ13" s="17">
        <f t="shared" si="18"/>
        <v>2.9818333876053913</v>
      </c>
      <c r="AK13" s="12">
        <f t="shared" si="20"/>
        <v>0.46032056347419514</v>
      </c>
      <c r="AL13" s="3"/>
      <c r="AM13" s="3"/>
    </row>
    <row r="14" spans="1:39" x14ac:dyDescent="0.3">
      <c r="A14">
        <f t="shared" si="4"/>
        <v>1905</v>
      </c>
      <c r="B14" s="2">
        <v>44420</v>
      </c>
      <c r="C14" s="2">
        <v>1272</v>
      </c>
      <c r="D14" s="2">
        <f t="shared" si="5"/>
        <v>43148</v>
      </c>
      <c r="E14" s="2">
        <v>37025</v>
      </c>
      <c r="F14" s="2">
        <v>1838</v>
      </c>
      <c r="G14" s="2">
        <f t="shared" si="6"/>
        <v>35187</v>
      </c>
      <c r="H14">
        <v>75</v>
      </c>
      <c r="I14">
        <v>12342</v>
      </c>
      <c r="J14">
        <v>12342</v>
      </c>
      <c r="K14" s="2">
        <v>70525</v>
      </c>
      <c r="L14" s="2">
        <v>19105</v>
      </c>
      <c r="M14" s="2">
        <f t="shared" si="7"/>
        <v>51420</v>
      </c>
      <c r="N14" s="2">
        <v>2072</v>
      </c>
      <c r="O14" s="10">
        <f t="shared" si="8"/>
        <v>4.0295604823026063E-2</v>
      </c>
      <c r="P14" s="15">
        <f>Sheet1!B15-Sheet1!C15+Sheet1!D15+Sheet2!J14</f>
        <v>20302</v>
      </c>
      <c r="Q14" s="10">
        <f t="shared" si="9"/>
        <v>0.60792040193084429</v>
      </c>
      <c r="R14" s="10">
        <f t="shared" si="10"/>
        <v>0.17319755476094753</v>
      </c>
      <c r="S14" s="10">
        <f t="shared" si="11"/>
        <v>0.73526681667599203</v>
      </c>
      <c r="T14" s="10">
        <f t="shared" si="0"/>
        <v>0.73526681667599203</v>
      </c>
      <c r="U14">
        <f t="shared" si="12"/>
        <v>1905</v>
      </c>
      <c r="V14" s="10">
        <f t="shared" si="1"/>
        <v>0.17319755476094753</v>
      </c>
      <c r="W14" s="10">
        <f t="shared" si="2"/>
        <v>0.17319755476094753</v>
      </c>
      <c r="X14" s="10">
        <f t="shared" si="13"/>
        <v>6.4737843183316546E-2</v>
      </c>
      <c r="Y14" s="10">
        <f t="shared" si="3"/>
        <v>0.11895593923066039</v>
      </c>
      <c r="Z14">
        <f t="shared" si="14"/>
        <v>1905</v>
      </c>
      <c r="AA14" s="10">
        <f t="shared" si="21"/>
        <v>1.2731756239001741</v>
      </c>
      <c r="AB14" s="10">
        <f t="shared" si="22"/>
        <v>1.9017136807966013</v>
      </c>
      <c r="AC14" s="10">
        <f t="shared" si="23"/>
        <v>1.6655627470938239</v>
      </c>
      <c r="AD14" s="10">
        <f t="shared" si="19"/>
        <v>0.78543759496168852</v>
      </c>
      <c r="AE14" s="10">
        <f t="shared" si="15"/>
        <v>0.52584151341915675</v>
      </c>
      <c r="AF14" s="10">
        <f t="shared" si="16"/>
        <v>0.60039767444658654</v>
      </c>
      <c r="AG14" s="2">
        <v>43148</v>
      </c>
      <c r="AH14">
        <v>88.5</v>
      </c>
      <c r="AI14" s="15">
        <f t="shared" si="17"/>
        <v>48754.802259887001</v>
      </c>
      <c r="AJ14" s="17">
        <f t="shared" si="18"/>
        <v>2.2731756239001744</v>
      </c>
      <c r="AK14" s="12">
        <f t="shared" si="20"/>
        <v>0.64501043971830785</v>
      </c>
      <c r="AL14" s="3"/>
      <c r="AM14" s="3"/>
    </row>
    <row r="15" spans="1:39" x14ac:dyDescent="0.3">
      <c r="A15">
        <f t="shared" si="4"/>
        <v>1906</v>
      </c>
      <c r="B15" s="2">
        <v>61609</v>
      </c>
      <c r="C15" s="2">
        <v>1537</v>
      </c>
      <c r="D15" s="2">
        <f t="shared" si="5"/>
        <v>60072</v>
      </c>
      <c r="E15" s="2">
        <v>53107</v>
      </c>
      <c r="F15" s="2">
        <v>2834</v>
      </c>
      <c r="G15" s="2">
        <f t="shared" si="6"/>
        <v>50273</v>
      </c>
      <c r="H15">
        <v>74</v>
      </c>
      <c r="I15">
        <v>16156</v>
      </c>
      <c r="J15">
        <v>16156</v>
      </c>
      <c r="K15" s="2">
        <v>86245</v>
      </c>
      <c r="L15" s="2">
        <v>20087</v>
      </c>
      <c r="M15" s="2">
        <f t="shared" si="7"/>
        <v>66158</v>
      </c>
      <c r="N15" s="2">
        <v>2102</v>
      </c>
      <c r="O15" s="10">
        <f t="shared" si="8"/>
        <v>3.1772423592007014E-2</v>
      </c>
      <c r="P15" s="15">
        <f>Sheet1!B16-Sheet1!C16+Sheet1!D16+Sheet2!J15</f>
        <v>25955</v>
      </c>
      <c r="Q15" s="10">
        <f t="shared" si="9"/>
        <v>0.62246195338085142</v>
      </c>
      <c r="R15" s="10">
        <f t="shared" si="10"/>
        <v>0.14272050671027092</v>
      </c>
      <c r="S15" s="10">
        <f t="shared" si="11"/>
        <v>0.72608986713564383</v>
      </c>
      <c r="T15" s="10">
        <f t="shared" si="0"/>
        <v>0.72608986713564383</v>
      </c>
      <c r="U15">
        <f t="shared" si="12"/>
        <v>1906</v>
      </c>
      <c r="V15" s="10">
        <f t="shared" si="1"/>
        <v>0.14272050671027092</v>
      </c>
      <c r="W15" s="10">
        <f t="shared" si="2"/>
        <v>0.14272050671027092</v>
      </c>
      <c r="X15" s="10">
        <f t="shared" si="13"/>
        <v>4.2366225567920912E-2</v>
      </c>
      <c r="Y15" s="10">
        <f t="shared" si="3"/>
        <v>9.7881226984273262E-2</v>
      </c>
      <c r="Z15">
        <f t="shared" si="14"/>
        <v>1906</v>
      </c>
      <c r="AA15" s="10">
        <f t="shared" si="21"/>
        <v>0.82786032241941854</v>
      </c>
      <c r="AB15" s="10">
        <f t="shared" si="22"/>
        <v>1.5283778649917943</v>
      </c>
      <c r="AC15" s="10">
        <f t="shared" si="23"/>
        <v>1.2480705239118179</v>
      </c>
      <c r="AD15" s="10">
        <v>1</v>
      </c>
      <c r="AE15" s="10">
        <f t="shared" si="15"/>
        <v>0.65428846027246601</v>
      </c>
      <c r="AF15" s="10">
        <f t="shared" si="16"/>
        <v>0.80123677375674862</v>
      </c>
      <c r="AG15" s="2">
        <v>60072</v>
      </c>
      <c r="AH15">
        <v>87.5</v>
      </c>
      <c r="AI15" s="15">
        <f t="shared" si="17"/>
        <v>68653.71428571429</v>
      </c>
      <c r="AJ15" s="17">
        <f t="shared" si="18"/>
        <v>1.8278603224194185</v>
      </c>
      <c r="AK15" s="12">
        <f t="shared" si="20"/>
        <v>0.89271879748084426</v>
      </c>
      <c r="AL15" s="3"/>
      <c r="AM15" s="3"/>
    </row>
    <row r="16" spans="1:39" x14ac:dyDescent="0.3">
      <c r="A16">
        <f t="shared" si="4"/>
        <v>1907</v>
      </c>
      <c r="B16" s="2">
        <v>72485</v>
      </c>
      <c r="C16" s="2">
        <v>1508</v>
      </c>
      <c r="D16" s="2">
        <f t="shared" si="5"/>
        <v>70977</v>
      </c>
      <c r="E16" s="2">
        <v>65536</v>
      </c>
      <c r="F16" s="2">
        <v>3746</v>
      </c>
      <c r="G16" s="2">
        <f t="shared" si="6"/>
        <v>61790</v>
      </c>
      <c r="H16">
        <v>362</v>
      </c>
      <c r="I16">
        <v>11960</v>
      </c>
      <c r="J16">
        <v>11960</v>
      </c>
      <c r="K16" s="2">
        <v>98526</v>
      </c>
      <c r="L16" s="2">
        <v>18000</v>
      </c>
      <c r="M16" s="2">
        <f t="shared" si="7"/>
        <v>80526</v>
      </c>
      <c r="N16" s="2">
        <v>9611</v>
      </c>
      <c r="O16" s="10">
        <f t="shared" si="8"/>
        <v>0.11935275563172143</v>
      </c>
      <c r="P16" s="15">
        <f>Sheet1!B17-Sheet1!C17+Sheet1!D17+Sheet2!J16</f>
        <v>21147</v>
      </c>
      <c r="Q16" s="10">
        <f t="shared" si="9"/>
        <v>0.56556485553506408</v>
      </c>
      <c r="R16" s="10">
        <f t="shared" si="10"/>
        <v>5.649802473449906E-2</v>
      </c>
      <c r="S16" s="10">
        <f t="shared" si="11"/>
        <v>0.59943155431753536</v>
      </c>
      <c r="T16" s="10">
        <f t="shared" si="0"/>
        <v>0.59943155431753536</v>
      </c>
      <c r="U16">
        <f t="shared" si="12"/>
        <v>1907</v>
      </c>
      <c r="V16" s="10">
        <f t="shared" si="1"/>
        <v>5.649802473449906E-2</v>
      </c>
      <c r="W16" s="10">
        <f t="shared" si="2"/>
        <v>5.649802473449906E-2</v>
      </c>
      <c r="X16" s="10">
        <f t="shared" si="13"/>
        <v>0.12990022225374764</v>
      </c>
      <c r="Y16" s="10">
        <f t="shared" si="3"/>
        <v>0.18034078907961726</v>
      </c>
      <c r="Z16">
        <f t="shared" si="14"/>
        <v>1907</v>
      </c>
      <c r="AA16" s="10">
        <f t="shared" si="21"/>
        <v>1.9666268198497125</v>
      </c>
      <c r="AB16" s="10">
        <f t="shared" si="22"/>
        <v>2.4019591386091763</v>
      </c>
      <c r="AC16" s="10">
        <f t="shared" si="23"/>
        <v>2.2483692981145982</v>
      </c>
      <c r="AD16" s="10">
        <f t="shared" si="19"/>
        <v>0.50848487873078985</v>
      </c>
      <c r="AE16" s="10">
        <f t="shared" si="15"/>
        <v>0.41632681585875653</v>
      </c>
      <c r="AF16" s="10">
        <f t="shared" si="16"/>
        <v>0.44476679202058317</v>
      </c>
      <c r="AG16" s="2">
        <v>70977</v>
      </c>
      <c r="AH16">
        <v>94.2</v>
      </c>
      <c r="AI16" s="15">
        <f t="shared" si="17"/>
        <v>75347.133757961783</v>
      </c>
      <c r="AJ16" s="17">
        <f t="shared" si="18"/>
        <v>2.9666268198497123</v>
      </c>
      <c r="AK16" s="12">
        <f t="shared" si="20"/>
        <v>0.75424243936539492</v>
      </c>
      <c r="AL16" s="3"/>
      <c r="AM16" s="3"/>
    </row>
    <row r="17" spans="1:39" x14ac:dyDescent="0.3">
      <c r="A17">
        <f t="shared" si="4"/>
        <v>1908</v>
      </c>
      <c r="B17" s="2">
        <v>47168</v>
      </c>
      <c r="C17" s="2">
        <v>2528</v>
      </c>
      <c r="D17" s="2">
        <f t="shared" si="5"/>
        <v>44640</v>
      </c>
      <c r="E17" s="2">
        <v>41650</v>
      </c>
      <c r="F17" s="2">
        <v>1524</v>
      </c>
      <c r="G17" s="2">
        <f t="shared" si="6"/>
        <v>40126</v>
      </c>
      <c r="H17">
        <v>717</v>
      </c>
      <c r="I17">
        <v>12604</v>
      </c>
      <c r="J17">
        <v>12604</v>
      </c>
      <c r="K17" s="2">
        <v>99190</v>
      </c>
      <c r="L17" s="2">
        <v>21922</v>
      </c>
      <c r="M17" s="2">
        <f t="shared" si="7"/>
        <v>77268</v>
      </c>
      <c r="N17" s="2">
        <v>14963</v>
      </c>
      <c r="O17" s="10">
        <f t="shared" si="8"/>
        <v>0.19365067039395351</v>
      </c>
      <c r="P17" s="15">
        <f>Sheet1!B18-Sheet1!C18+Sheet1!D18+Sheet2!J17</f>
        <v>17019</v>
      </c>
      <c r="Q17" s="10">
        <f t="shared" si="9"/>
        <v>0.7405840531171044</v>
      </c>
      <c r="R17" s="10">
        <f t="shared" si="10"/>
        <v>-0.13470595665638166</v>
      </c>
      <c r="S17" s="10">
        <f t="shared" si="11"/>
        <v>0.65266604865578615</v>
      </c>
      <c r="T17" s="10">
        <f t="shared" si="0"/>
        <v>0.65266604865578615</v>
      </c>
      <c r="U17">
        <f t="shared" si="12"/>
        <v>1908</v>
      </c>
      <c r="V17" s="10">
        <f t="shared" si="1"/>
        <v>-0.13470595665638166</v>
      </c>
      <c r="W17" s="10">
        <f t="shared" si="2"/>
        <v>-0.13470595665638166</v>
      </c>
      <c r="X17" s="10">
        <f t="shared" si="13"/>
        <v>-0.13936008171862202</v>
      </c>
      <c r="Y17" s="10">
        <f t="shared" si="3"/>
        <v>-7.3310221908847062E-2</v>
      </c>
      <c r="Z17">
        <f t="shared" si="14"/>
        <v>1908</v>
      </c>
      <c r="AA17" s="10">
        <v>1</v>
      </c>
      <c r="AB17" s="10">
        <v>1</v>
      </c>
      <c r="AC17" s="10">
        <v>1</v>
      </c>
      <c r="AD17" s="10">
        <f t="shared" si="19"/>
        <v>1</v>
      </c>
      <c r="AE17" s="10">
        <f t="shared" si="15"/>
        <v>1</v>
      </c>
      <c r="AF17" s="10">
        <f t="shared" si="16"/>
        <v>1</v>
      </c>
      <c r="AG17" s="2">
        <v>44640</v>
      </c>
      <c r="AH17">
        <v>92.8</v>
      </c>
      <c r="AI17" s="15">
        <f t="shared" si="17"/>
        <v>48103.448275862072</v>
      </c>
      <c r="AJ17" s="17">
        <f t="shared" si="18"/>
        <v>2</v>
      </c>
      <c r="AK17" s="12">
        <f t="shared" si="20"/>
        <v>0.75424243936539492</v>
      </c>
      <c r="AL17" s="3"/>
      <c r="AM17" s="3"/>
    </row>
    <row r="18" spans="1:39" x14ac:dyDescent="0.3">
      <c r="A18">
        <f t="shared" si="4"/>
        <v>1909</v>
      </c>
      <c r="B18" s="2">
        <v>54102</v>
      </c>
      <c r="C18" s="2">
        <v>2446</v>
      </c>
      <c r="D18" s="2">
        <f t="shared" si="5"/>
        <v>51656</v>
      </c>
      <c r="E18" s="2">
        <v>46951</v>
      </c>
      <c r="F18" s="2">
        <v>2448</v>
      </c>
      <c r="G18" s="2">
        <f t="shared" si="6"/>
        <v>44503</v>
      </c>
      <c r="H18">
        <v>658</v>
      </c>
      <c r="I18">
        <v>17970</v>
      </c>
      <c r="J18">
        <v>17970</v>
      </c>
      <c r="K18" s="2">
        <v>102441</v>
      </c>
      <c r="L18" s="2">
        <v>22330</v>
      </c>
      <c r="M18" s="2">
        <f t="shared" si="7"/>
        <v>80111</v>
      </c>
      <c r="N18" s="2">
        <v>14962</v>
      </c>
      <c r="O18" s="10">
        <f t="shared" si="8"/>
        <v>0.18676586236596723</v>
      </c>
      <c r="P18" s="15">
        <f>Sheet1!B19-Sheet1!C19+Sheet1!D19+Sheet2!J18</f>
        <v>25124</v>
      </c>
      <c r="Q18" s="10">
        <f t="shared" si="9"/>
        <v>0.71525234835217322</v>
      </c>
      <c r="R18" s="10">
        <f t="shared" si="10"/>
        <v>-9.0104643593095345E-3</v>
      </c>
      <c r="S18" s="10">
        <f t="shared" si="11"/>
        <v>0.70886514423449143</v>
      </c>
      <c r="T18" s="10">
        <f t="shared" si="0"/>
        <v>0.70886514423449143</v>
      </c>
      <c r="U18">
        <f t="shared" si="12"/>
        <v>1909</v>
      </c>
      <c r="V18" s="10">
        <f t="shared" si="1"/>
        <v>-9.0104643593095345E-3</v>
      </c>
      <c r="W18" s="10">
        <f t="shared" si="2"/>
        <v>-9.0104643593095345E-3</v>
      </c>
      <c r="X18" s="10">
        <f t="shared" si="13"/>
        <v>-0.10038822823411264</v>
      </c>
      <c r="Y18" s="10">
        <f t="shared" si="3"/>
        <v>-3.6597606307497532E-2</v>
      </c>
      <c r="Z18">
        <f t="shared" si="14"/>
        <v>1909</v>
      </c>
      <c r="AA18" s="10">
        <v>1</v>
      </c>
      <c r="AB18" s="10">
        <v>1</v>
      </c>
      <c r="AC18" s="10">
        <v>1</v>
      </c>
      <c r="AD18" s="10">
        <f t="shared" si="19"/>
        <v>1</v>
      </c>
      <c r="AE18" s="10">
        <f t="shared" si="15"/>
        <v>1</v>
      </c>
      <c r="AF18" s="10">
        <f t="shared" si="16"/>
        <v>1</v>
      </c>
      <c r="AG18" s="2">
        <v>51656</v>
      </c>
      <c r="AH18">
        <v>97.8</v>
      </c>
      <c r="AI18" s="15">
        <f t="shared" si="17"/>
        <v>52817.995910020458</v>
      </c>
      <c r="AJ18" s="17">
        <f t="shared" si="18"/>
        <v>2</v>
      </c>
      <c r="AK18" s="12">
        <f t="shared" si="20"/>
        <v>1</v>
      </c>
      <c r="AL18" s="3"/>
      <c r="AM18" s="3"/>
    </row>
    <row r="19" spans="1:39" x14ac:dyDescent="0.3">
      <c r="A19">
        <f t="shared" si="4"/>
        <v>1910</v>
      </c>
      <c r="B19" s="2">
        <v>74708</v>
      </c>
      <c r="C19" s="2">
        <v>3229</v>
      </c>
      <c r="D19" s="2">
        <f t="shared" si="5"/>
        <v>71479</v>
      </c>
      <c r="E19" s="2">
        <v>63135</v>
      </c>
      <c r="F19" s="2">
        <v>4661</v>
      </c>
      <c r="G19" s="2">
        <f t="shared" si="6"/>
        <v>58474</v>
      </c>
      <c r="H19">
        <v>717</v>
      </c>
      <c r="I19">
        <v>20832</v>
      </c>
      <c r="J19">
        <v>20832</v>
      </c>
      <c r="K19" s="2">
        <v>107767</v>
      </c>
      <c r="L19" s="2">
        <v>23667</v>
      </c>
      <c r="M19" s="2">
        <f t="shared" si="7"/>
        <v>84100</v>
      </c>
      <c r="N19" s="2">
        <v>14962</v>
      </c>
      <c r="O19" s="10">
        <f t="shared" si="8"/>
        <v>0.17790725326991677</v>
      </c>
      <c r="P19" s="15">
        <f>Sheet1!B20-Sheet1!C20+Sheet1!D20+Sheet2!J19</f>
        <v>33837</v>
      </c>
      <c r="Q19" s="10">
        <f t="shared" si="9"/>
        <v>0.6156574164376275</v>
      </c>
      <c r="R19" s="10">
        <f t="shared" si="10"/>
        <v>7.9845561371447007E-2</v>
      </c>
      <c r="S19" s="10">
        <f t="shared" si="11"/>
        <v>0.6690805266942319</v>
      </c>
      <c r="T19" s="10">
        <f t="shared" si="0"/>
        <v>0.6690805266942319</v>
      </c>
      <c r="U19">
        <f t="shared" si="12"/>
        <v>1910</v>
      </c>
      <c r="V19" s="10">
        <f t="shared" si="1"/>
        <v>7.9845561371447007E-2</v>
      </c>
      <c r="W19" s="10">
        <f t="shared" si="2"/>
        <v>7.9845561371447007E-2</v>
      </c>
      <c r="X19" s="10">
        <f t="shared" si="13"/>
        <v>5.2834743942111517E-2</v>
      </c>
      <c r="Y19" s="10">
        <f t="shared" si="3"/>
        <v>0.10774287472807598</v>
      </c>
      <c r="Z19">
        <f t="shared" si="14"/>
        <v>1910</v>
      </c>
      <c r="AA19" s="10">
        <f>POWER((20/19)*(1-X19),-1/X19)</f>
        <v>1.0581914802941559</v>
      </c>
      <c r="AB19" s="10">
        <f t="shared" ref="AB19:AB20" si="24">POWER((40/39)*(1-X19),-1/X19)</f>
        <v>1.7301320912788771</v>
      </c>
      <c r="AC19" s="10">
        <f t="shared" ref="AC19:AC20" si="25">POWER((30/29)*(1-X19),-1/X19)</f>
        <v>1.4706930639308837</v>
      </c>
      <c r="AD19" s="10">
        <f t="shared" si="19"/>
        <v>0.94500855338772916</v>
      </c>
      <c r="AE19" s="10">
        <f t="shared" si="15"/>
        <v>0.57799055057167403</v>
      </c>
      <c r="AF19" s="10">
        <f t="shared" si="16"/>
        <v>0.67995153069341985</v>
      </c>
      <c r="AG19" s="2">
        <v>71479</v>
      </c>
      <c r="AH19">
        <v>101.4</v>
      </c>
      <c r="AI19" s="15">
        <f t="shared" si="17"/>
        <v>70492.110453648915</v>
      </c>
      <c r="AJ19" s="17">
        <f t="shared" si="18"/>
        <v>2.0581914802941559</v>
      </c>
      <c r="AK19" s="12">
        <f t="shared" si="20"/>
        <v>0.97250427669386452</v>
      </c>
      <c r="AL19" s="3"/>
      <c r="AM19" s="3"/>
    </row>
    <row r="20" spans="1:39" x14ac:dyDescent="0.3">
      <c r="A20">
        <f t="shared" si="4"/>
        <v>1911</v>
      </c>
      <c r="B20" s="2">
        <v>81318</v>
      </c>
      <c r="C20" s="2">
        <v>3011</v>
      </c>
      <c r="D20" s="2">
        <f t="shared" si="5"/>
        <v>78307</v>
      </c>
      <c r="E20" s="2">
        <v>62461</v>
      </c>
      <c r="F20" s="2">
        <v>3114</v>
      </c>
      <c r="G20" s="2">
        <f t="shared" si="6"/>
        <v>59347</v>
      </c>
      <c r="H20">
        <v>596</v>
      </c>
      <c r="I20">
        <v>25912</v>
      </c>
      <c r="J20">
        <v>25912</v>
      </c>
      <c r="K20" s="2">
        <v>115399</v>
      </c>
      <c r="L20" s="2">
        <v>28708</v>
      </c>
      <c r="M20" s="2">
        <f t="shared" si="7"/>
        <v>86691</v>
      </c>
      <c r="N20" s="2">
        <v>9858</v>
      </c>
      <c r="O20" s="10">
        <f t="shared" si="8"/>
        <v>0.11371422639028272</v>
      </c>
      <c r="P20" s="15">
        <f>Sheet1!B21-Sheet1!C21+Sheet1!D21+Sheet2!J20</f>
        <v>36949</v>
      </c>
      <c r="Q20" s="10">
        <f t="shared" si="9"/>
        <v>0.70129096863243934</v>
      </c>
      <c r="R20" s="10">
        <f t="shared" si="10"/>
        <v>1.5840962671862014E-2</v>
      </c>
      <c r="S20" s="10">
        <f t="shared" si="11"/>
        <v>0.71257890445872629</v>
      </c>
      <c r="T20" s="10">
        <f t="shared" si="0"/>
        <v>0.71257890445872629</v>
      </c>
      <c r="U20">
        <f t="shared" si="12"/>
        <v>1911</v>
      </c>
      <c r="V20" s="10">
        <f t="shared" si="1"/>
        <v>1.5840962671862014E-2</v>
      </c>
      <c r="W20" s="10">
        <f t="shared" si="2"/>
        <v>1.5840962671862014E-2</v>
      </c>
      <c r="X20" s="10">
        <f t="shared" si="13"/>
        <v>-7.8909182511445186E-2</v>
      </c>
      <c r="Y20" s="10">
        <f t="shared" si="3"/>
        <v>-1.6363722655709179E-2</v>
      </c>
      <c r="Z20">
        <f t="shared" si="14"/>
        <v>1911</v>
      </c>
      <c r="AA20" s="10">
        <f>POWER((20/19)*(1-X20),-1/X20)</f>
        <v>5.0155088259087064</v>
      </c>
      <c r="AB20" s="10">
        <f t="shared" si="24"/>
        <v>3.6087188776526302</v>
      </c>
      <c r="AC20" s="10">
        <f t="shared" si="25"/>
        <v>4.0234223187460323</v>
      </c>
      <c r="AD20" s="10">
        <f t="shared" si="19"/>
        <v>0.19938156520317171</v>
      </c>
      <c r="AE20" s="10">
        <f t="shared" si="15"/>
        <v>0.27710665028318077</v>
      </c>
      <c r="AF20" s="10">
        <f t="shared" si="16"/>
        <v>0.24854462713018577</v>
      </c>
      <c r="AG20" s="2">
        <v>78307</v>
      </c>
      <c r="AH20">
        <v>92.9</v>
      </c>
      <c r="AI20" s="15">
        <f t="shared" si="17"/>
        <v>84291.711517761025</v>
      </c>
      <c r="AJ20" s="17">
        <f t="shared" si="18"/>
        <v>6.0155088259087064</v>
      </c>
      <c r="AK20" s="12">
        <f t="shared" si="20"/>
        <v>0.57219505929545045</v>
      </c>
      <c r="AL20" s="3"/>
      <c r="AM20" s="3"/>
    </row>
    <row r="21" spans="1:39" x14ac:dyDescent="0.3">
      <c r="A21">
        <f t="shared" si="4"/>
        <v>1912</v>
      </c>
      <c r="B21" s="2">
        <v>94185</v>
      </c>
      <c r="C21" s="2">
        <v>5002</v>
      </c>
      <c r="D21" s="2">
        <f t="shared" si="5"/>
        <v>89183</v>
      </c>
      <c r="E21" s="2">
        <v>81074</v>
      </c>
      <c r="F21" s="2">
        <v>4046</v>
      </c>
      <c r="G21" s="2">
        <f t="shared" si="6"/>
        <v>77028</v>
      </c>
      <c r="H21">
        <v>532</v>
      </c>
      <c r="I21">
        <v>36456</v>
      </c>
      <c r="J21">
        <v>36456</v>
      </c>
      <c r="K21" s="2">
        <v>131942</v>
      </c>
      <c r="L21" s="2">
        <v>23325</v>
      </c>
      <c r="M21" s="2">
        <f t="shared" si="7"/>
        <v>108617</v>
      </c>
      <c r="N21" s="2">
        <v>7293</v>
      </c>
      <c r="O21" s="10">
        <f t="shared" si="8"/>
        <v>6.7144185532651432E-2</v>
      </c>
      <c r="P21" s="15">
        <f>Sheet1!B22-Sheet1!C22+Sheet1!D22+Sheet2!J21</f>
        <v>48610</v>
      </c>
      <c r="Q21" s="10">
        <f t="shared" si="9"/>
        <v>0.74996914215182064</v>
      </c>
      <c r="R21" s="10">
        <f t="shared" si="10"/>
        <v>-6.1397788451771497E-2</v>
      </c>
      <c r="S21" s="10">
        <f t="shared" si="11"/>
        <v>0.70658630563549374</v>
      </c>
      <c r="T21" s="10">
        <f t="shared" si="0"/>
        <v>0.70658630563549374</v>
      </c>
      <c r="U21">
        <f t="shared" si="12"/>
        <v>1912</v>
      </c>
      <c r="V21" s="10">
        <f t="shared" si="1"/>
        <v>-6.1397788451771497E-2</v>
      </c>
      <c r="W21" s="10">
        <f t="shared" si="2"/>
        <v>-6.1397788451771497E-2</v>
      </c>
      <c r="X21" s="10">
        <f t="shared" si="13"/>
        <v>-0.15379868023357024</v>
      </c>
      <c r="Y21" s="10">
        <f t="shared" si="3"/>
        <v>-8.6911800220029978E-2</v>
      </c>
      <c r="Z21">
        <f t="shared" si="14"/>
        <v>1912</v>
      </c>
      <c r="AA21" s="10">
        <v>1</v>
      </c>
      <c r="AB21" s="10">
        <v>1</v>
      </c>
      <c r="AC21" s="10">
        <v>1</v>
      </c>
      <c r="AD21" s="10">
        <f t="shared" si="19"/>
        <v>1</v>
      </c>
      <c r="AE21" s="10">
        <f t="shared" si="15"/>
        <v>1</v>
      </c>
      <c r="AF21" s="10">
        <f t="shared" si="16"/>
        <v>1</v>
      </c>
      <c r="AG21" s="2">
        <v>89183</v>
      </c>
      <c r="AH21">
        <v>99.7</v>
      </c>
      <c r="AI21" s="15">
        <f t="shared" si="17"/>
        <v>89451.354062186554</v>
      </c>
      <c r="AJ21" s="17">
        <f t="shared" si="18"/>
        <v>2</v>
      </c>
      <c r="AK21" s="12">
        <f t="shared" si="20"/>
        <v>0.59969078260158581</v>
      </c>
      <c r="AL21" s="3"/>
      <c r="AM21" s="3"/>
    </row>
    <row r="22" spans="1:39" x14ac:dyDescent="0.3">
      <c r="A22">
        <f t="shared" si="4"/>
        <v>1913</v>
      </c>
      <c r="B22" s="2">
        <v>110273</v>
      </c>
      <c r="C22" s="2">
        <v>3796</v>
      </c>
      <c r="D22" s="2">
        <f t="shared" si="5"/>
        <v>106477</v>
      </c>
      <c r="E22" s="2">
        <v>96602</v>
      </c>
      <c r="F22" s="2">
        <v>6502</v>
      </c>
      <c r="G22" s="2">
        <f t="shared" si="6"/>
        <v>90100</v>
      </c>
      <c r="H22" s="2">
        <v>614</v>
      </c>
      <c r="I22">
        <v>38584</v>
      </c>
      <c r="J22">
        <v>38584</v>
      </c>
      <c r="K22" s="2">
        <v>144125</v>
      </c>
      <c r="L22" s="2">
        <v>25964</v>
      </c>
      <c r="M22" s="2">
        <f t="shared" si="7"/>
        <v>118161</v>
      </c>
      <c r="N22" s="2">
        <v>20152</v>
      </c>
      <c r="O22" s="10">
        <f t="shared" si="8"/>
        <v>0.17054696558086002</v>
      </c>
      <c r="P22" s="15">
        <f>Sheet1!B23-Sheet1!C23+Sheet1!D23+Sheet2!J22</f>
        <v>54961</v>
      </c>
      <c r="Q22" s="10">
        <f t="shared" si="9"/>
        <v>0.70202507232401157</v>
      </c>
      <c r="R22" s="10">
        <f t="shared" si="10"/>
        <v>8.7966851936201712E-2</v>
      </c>
      <c r="S22" s="10">
        <f t="shared" si="11"/>
        <v>0.76973635641903626</v>
      </c>
      <c r="T22" s="10">
        <f t="shared" si="0"/>
        <v>0.76973635641903626</v>
      </c>
      <c r="U22">
        <f t="shared" si="12"/>
        <v>1913</v>
      </c>
      <c r="V22" s="10">
        <f t="shared" si="1"/>
        <v>8.7966851936201712E-2</v>
      </c>
      <c r="W22" s="10">
        <f t="shared" si="2"/>
        <v>8.7966851936201712E-2</v>
      </c>
      <c r="X22" s="10">
        <f t="shared" si="13"/>
        <v>-8.0038572806171659E-2</v>
      </c>
      <c r="Y22" s="10">
        <f t="shared" si="3"/>
        <v>-1.7427641049292175E-2</v>
      </c>
      <c r="Z22">
        <f t="shared" si="14"/>
        <v>1913</v>
      </c>
      <c r="AA22" s="10">
        <v>1</v>
      </c>
      <c r="AB22" s="10">
        <v>1</v>
      </c>
      <c r="AC22" s="10">
        <v>1</v>
      </c>
      <c r="AD22" s="10">
        <f t="shared" si="19"/>
        <v>1</v>
      </c>
      <c r="AE22" s="10">
        <f t="shared" si="15"/>
        <v>1</v>
      </c>
      <c r="AF22" s="10">
        <f t="shared" si="16"/>
        <v>1</v>
      </c>
      <c r="AG22" s="2">
        <v>106477</v>
      </c>
      <c r="AH22">
        <v>100.00000000000001</v>
      </c>
      <c r="AI22" s="15">
        <f t="shared" si="17"/>
        <v>106476.99999999997</v>
      </c>
      <c r="AJ22" s="17">
        <f t="shared" si="18"/>
        <v>2</v>
      </c>
      <c r="AK22" s="12">
        <f t="shared" si="20"/>
        <v>1</v>
      </c>
      <c r="AL22" s="3"/>
      <c r="AM22" s="3"/>
    </row>
    <row r="23" spans="1:39" x14ac:dyDescent="0.3">
      <c r="A23">
        <f t="shared" si="4"/>
        <v>1914</v>
      </c>
      <c r="B23" s="2">
        <v>93352</v>
      </c>
      <c r="C23" s="2">
        <v>2884</v>
      </c>
      <c r="D23" s="2">
        <f t="shared" si="5"/>
        <v>90468</v>
      </c>
      <c r="E23" s="2">
        <v>81497</v>
      </c>
      <c r="F23" s="2">
        <v>4371</v>
      </c>
      <c r="G23" s="2">
        <f t="shared" si="6"/>
        <v>77126</v>
      </c>
      <c r="H23">
        <v>568</v>
      </c>
      <c r="I23">
        <v>28536</v>
      </c>
      <c r="J23">
        <v>28536</v>
      </c>
      <c r="K23" s="2">
        <v>138418</v>
      </c>
      <c r="L23" s="2">
        <v>29667</v>
      </c>
      <c r="M23" s="2">
        <f t="shared" si="7"/>
        <v>108751</v>
      </c>
      <c r="N23" s="2">
        <v>12067</v>
      </c>
      <c r="O23" s="10">
        <f t="shared" si="8"/>
        <v>0.11095989921931752</v>
      </c>
      <c r="P23" s="15">
        <f>Sheet1!B24-Sheet1!C24+Sheet1!D24+Sheet2!J23</f>
        <v>41878</v>
      </c>
      <c r="Q23" s="10">
        <f t="shared" si="9"/>
        <v>0.68140789913558431</v>
      </c>
      <c r="R23" s="10">
        <f t="shared" si="10"/>
        <v>4.3088184432214419E-2</v>
      </c>
      <c r="S23" s="10">
        <f t="shared" si="11"/>
        <v>0.71209058980139095</v>
      </c>
      <c r="T23" s="10">
        <f t="shared" si="0"/>
        <v>0.71209058980139095</v>
      </c>
      <c r="U23">
        <f t="shared" si="12"/>
        <v>1914</v>
      </c>
      <c r="V23" s="10">
        <f t="shared" si="1"/>
        <v>4.3088184432214419E-2</v>
      </c>
      <c r="W23" s="10">
        <f t="shared" si="2"/>
        <v>4.3088184432214419E-2</v>
      </c>
      <c r="X23" s="10">
        <f t="shared" si="13"/>
        <v>-4.8319844823975888E-2</v>
      </c>
      <c r="Y23" s="10">
        <f t="shared" si="3"/>
        <v>1.2452320093355951E-2</v>
      </c>
      <c r="Z23">
        <f t="shared" si="14"/>
        <v>1914</v>
      </c>
      <c r="AA23" s="10">
        <v>1</v>
      </c>
      <c r="AB23" s="10">
        <v>1</v>
      </c>
      <c r="AC23" s="10">
        <v>1</v>
      </c>
      <c r="AD23" s="10">
        <f t="shared" si="19"/>
        <v>1</v>
      </c>
      <c r="AE23" s="10">
        <f t="shared" si="15"/>
        <v>1</v>
      </c>
      <c r="AF23" s="10">
        <f t="shared" si="16"/>
        <v>1</v>
      </c>
      <c r="AG23" s="2">
        <v>90468</v>
      </c>
      <c r="AH23" s="15">
        <v>94.623655913978496</v>
      </c>
      <c r="AI23" s="15">
        <f t="shared" si="17"/>
        <v>95608.227272727279</v>
      </c>
      <c r="AJ23" s="17">
        <f t="shared" si="18"/>
        <v>2</v>
      </c>
      <c r="AK23" s="12">
        <f t="shared" si="20"/>
        <v>1</v>
      </c>
      <c r="AL23" s="3"/>
      <c r="AM23" s="3"/>
    </row>
    <row r="24" spans="1:39" x14ac:dyDescent="0.3">
      <c r="A24">
        <f t="shared" si="4"/>
        <v>1915</v>
      </c>
      <c r="B24" s="2">
        <v>89206</v>
      </c>
      <c r="C24" s="2">
        <v>3684</v>
      </c>
      <c r="D24" s="2">
        <f t="shared" si="5"/>
        <v>85522</v>
      </c>
      <c r="E24" s="2">
        <v>76898</v>
      </c>
      <c r="F24" s="2">
        <v>5985</v>
      </c>
      <c r="G24" s="2">
        <f t="shared" si="6"/>
        <v>70913</v>
      </c>
      <c r="H24">
        <v>570</v>
      </c>
      <c r="I24">
        <v>33711</v>
      </c>
      <c r="J24">
        <v>33711</v>
      </c>
      <c r="K24" s="2">
        <v>149279</v>
      </c>
      <c r="L24" s="2">
        <v>32917</v>
      </c>
      <c r="M24" s="2">
        <f t="shared" si="7"/>
        <v>116362</v>
      </c>
      <c r="N24" s="2">
        <v>12049</v>
      </c>
      <c r="O24" s="10">
        <f t="shared" si="8"/>
        <v>0.10354754988742029</v>
      </c>
      <c r="P24" s="15">
        <f>Sheet1!B25-Sheet1!C25+Sheet1!D25+Sheet2!J24</f>
        <v>48320</v>
      </c>
      <c r="Q24" s="10">
        <f t="shared" si="9"/>
        <v>0.69766142384105956</v>
      </c>
      <c r="R24" s="10">
        <f t="shared" si="10"/>
        <v>1.8985836806549857E-2</v>
      </c>
      <c r="S24" s="10">
        <f t="shared" si="11"/>
        <v>0.71116345718189689</v>
      </c>
      <c r="T24" s="10">
        <f t="shared" si="0"/>
        <v>0.71116345718189689</v>
      </c>
      <c r="U24">
        <f t="shared" si="12"/>
        <v>1915</v>
      </c>
      <c r="V24" s="10">
        <f t="shared" si="1"/>
        <v>1.8985836806549857E-2</v>
      </c>
      <c r="W24" s="10">
        <f t="shared" si="2"/>
        <v>1.8985836806549857E-2</v>
      </c>
      <c r="X24" s="10">
        <f t="shared" si="13"/>
        <v>-7.3325267447784004E-2</v>
      </c>
      <c r="Y24" s="10">
        <f t="shared" si="3"/>
        <v>-1.1103512813129823E-2</v>
      </c>
      <c r="Z24">
        <f t="shared" si="14"/>
        <v>1915</v>
      </c>
      <c r="AA24" s="10">
        <v>1</v>
      </c>
      <c r="AB24" s="10">
        <v>1</v>
      </c>
      <c r="AC24" s="10">
        <v>1</v>
      </c>
      <c r="AD24" s="10">
        <f t="shared" si="19"/>
        <v>1</v>
      </c>
      <c r="AE24" s="10">
        <f t="shared" si="15"/>
        <v>1</v>
      </c>
      <c r="AF24" s="10">
        <f t="shared" si="16"/>
        <v>1</v>
      </c>
      <c r="AG24" s="2">
        <v>85522</v>
      </c>
      <c r="AH24" s="15">
        <v>97.043010752688176</v>
      </c>
      <c r="AI24" s="15">
        <f t="shared" si="17"/>
        <v>88127.933518005535</v>
      </c>
      <c r="AJ24" s="17">
        <f t="shared" si="18"/>
        <v>2</v>
      </c>
      <c r="AK24" s="12">
        <f t="shared" si="20"/>
        <v>1</v>
      </c>
      <c r="AL24" s="3"/>
      <c r="AM24" s="3"/>
    </row>
    <row r="25" spans="1:39" x14ac:dyDescent="0.3">
      <c r="A25">
        <f t="shared" si="4"/>
        <v>1916</v>
      </c>
      <c r="B25" s="2">
        <v>138109</v>
      </c>
      <c r="C25" s="2">
        <v>3867</v>
      </c>
      <c r="D25" s="2">
        <f t="shared" si="5"/>
        <v>134242</v>
      </c>
      <c r="E25" s="2">
        <v>118948</v>
      </c>
      <c r="F25" s="2">
        <v>8828</v>
      </c>
      <c r="G25" s="2">
        <f t="shared" si="6"/>
        <v>110120</v>
      </c>
      <c r="H25">
        <v>571</v>
      </c>
      <c r="I25">
        <v>50317</v>
      </c>
      <c r="J25">
        <v>50317</v>
      </c>
      <c r="K25" s="2">
        <v>163622</v>
      </c>
      <c r="L25" s="2">
        <v>33774</v>
      </c>
      <c r="M25" s="2">
        <f t="shared" si="7"/>
        <v>129848</v>
      </c>
      <c r="N25" s="2">
        <v>12048</v>
      </c>
      <c r="O25" s="10">
        <f t="shared" si="8"/>
        <v>9.2785410633972026E-2</v>
      </c>
      <c r="P25" s="15">
        <f>Sheet1!B26-Sheet1!C26+Sheet1!D26+Sheet2!J25</f>
        <v>74439</v>
      </c>
      <c r="Q25" s="10">
        <f t="shared" si="9"/>
        <v>0.6759494351079407</v>
      </c>
      <c r="R25" s="10">
        <f t="shared" si="10"/>
        <v>8.9716699326187851E-2</v>
      </c>
      <c r="S25" s="10">
        <f t="shared" si="11"/>
        <v>0.74257040045399902</v>
      </c>
      <c r="T25" s="10">
        <f t="shared" si="0"/>
        <v>0.74257040045399902</v>
      </c>
      <c r="U25">
        <f t="shared" si="12"/>
        <v>1916</v>
      </c>
      <c r="V25" s="10">
        <f t="shared" si="1"/>
        <v>8.9716699326187851E-2</v>
      </c>
      <c r="W25" s="10">
        <f t="shared" si="2"/>
        <v>8.9716699326187851E-2</v>
      </c>
      <c r="X25" s="10">
        <f>1-Q25/(0.75)</f>
        <v>9.8734086522745734E-2</v>
      </c>
      <c r="Y25" s="10">
        <f t="shared" si="3"/>
        <v>2.0363137524723518E-2</v>
      </c>
      <c r="Z25">
        <f t="shared" si="14"/>
        <v>1916</v>
      </c>
      <c r="AA25" s="10">
        <f t="shared" ref="AA25:AA40" si="26">POWER((20/19)*(1-X25),-1/X25)</f>
        <v>1.7046645942130718</v>
      </c>
      <c r="AB25" s="10">
        <f t="shared" ref="AB25:AB40" si="27">POWER((40/39)*(1-X25),-1/X25)</f>
        <v>2.2176624012330652</v>
      </c>
      <c r="AC25" s="10">
        <f t="shared" ref="AC25:AC40" si="28">POWER((30/29)*(1-X25),-1/X25)</f>
        <v>2.0330063781899441</v>
      </c>
      <c r="AD25" s="10">
        <f t="shared" si="19"/>
        <v>0.5866256643064921</v>
      </c>
      <c r="AE25" s="10">
        <f t="shared" si="15"/>
        <v>0.45092526231403829</v>
      </c>
      <c r="AF25" s="10">
        <f t="shared" si="16"/>
        <v>0.49188237219911457</v>
      </c>
      <c r="AG25" s="2">
        <v>134242</v>
      </c>
      <c r="AH25" s="15">
        <v>125.80645161290322</v>
      </c>
      <c r="AI25" s="15">
        <f t="shared" si="17"/>
        <v>106705.1794871795</v>
      </c>
      <c r="AJ25" s="17">
        <f t="shared" si="18"/>
        <v>2.7046645942130718</v>
      </c>
      <c r="AK25" s="12">
        <f t="shared" si="20"/>
        <v>0.79331283215324611</v>
      </c>
      <c r="AL25" s="3"/>
      <c r="AM25" s="3"/>
    </row>
    <row r="26" spans="1:39" x14ac:dyDescent="0.3">
      <c r="A26">
        <f t="shared" si="4"/>
        <v>1917</v>
      </c>
      <c r="B26" s="2">
        <v>201438</v>
      </c>
      <c r="C26" s="2">
        <v>4512</v>
      </c>
      <c r="D26" s="2">
        <f t="shared" si="5"/>
        <v>196926</v>
      </c>
      <c r="E26" s="2">
        <v>167922</v>
      </c>
      <c r="F26" s="2">
        <v>13288</v>
      </c>
      <c r="G26" s="2">
        <f t="shared" si="6"/>
        <v>154634</v>
      </c>
      <c r="H26">
        <v>1113</v>
      </c>
      <c r="I26">
        <v>64459</v>
      </c>
      <c r="J26">
        <v>64459</v>
      </c>
      <c r="K26" s="2">
        <v>231630</v>
      </c>
      <c r="L26" s="2">
        <v>37349</v>
      </c>
      <c r="M26" s="2">
        <f t="shared" si="7"/>
        <v>194281</v>
      </c>
      <c r="N26" s="2">
        <v>27306</v>
      </c>
      <c r="O26" s="10">
        <f t="shared" si="8"/>
        <v>0.14054899861540757</v>
      </c>
      <c r="P26" s="15">
        <f>Sheet1!B27-Sheet1!C27+Sheet1!D27+Sheet2!J26</f>
        <v>106751</v>
      </c>
      <c r="Q26" s="10">
        <f t="shared" si="9"/>
        <v>0.6038257252859458</v>
      </c>
      <c r="R26" s="10">
        <f t="shared" si="10"/>
        <v>0.16784362588279206</v>
      </c>
      <c r="S26" s="10">
        <f t="shared" si="11"/>
        <v>0.72561569443785556</v>
      </c>
      <c r="T26" s="10">
        <f t="shared" si="0"/>
        <v>0.72561569443785556</v>
      </c>
      <c r="U26">
        <f t="shared" si="12"/>
        <v>1917</v>
      </c>
      <c r="V26" s="10">
        <f t="shared" si="1"/>
        <v>0.16784362588279206</v>
      </c>
      <c r="W26" s="10">
        <f t="shared" si="2"/>
        <v>0.16784362588279206</v>
      </c>
      <c r="X26" s="10">
        <f t="shared" ref="X26:X48" si="29">1-Q26/(0.75)</f>
        <v>0.19489903295207223</v>
      </c>
      <c r="Y26" s="10">
        <f t="shared" si="3"/>
        <v>0.12489025320877412</v>
      </c>
      <c r="Z26">
        <f t="shared" si="14"/>
        <v>1917</v>
      </c>
      <c r="AA26" s="10">
        <f t="shared" si="26"/>
        <v>2.3376083377508956</v>
      </c>
      <c r="AB26" s="10">
        <f t="shared" si="27"/>
        <v>2.6708718623796055</v>
      </c>
      <c r="AC26" s="10">
        <f t="shared" si="28"/>
        <v>2.5557940466809037</v>
      </c>
      <c r="AD26" s="10">
        <f t="shared" si="19"/>
        <v>0.42778765965650989</v>
      </c>
      <c r="AE26" s="10">
        <f t="shared" si="15"/>
        <v>0.37440957542195713</v>
      </c>
      <c r="AF26" s="10">
        <f t="shared" si="16"/>
        <v>0.39126783368896867</v>
      </c>
      <c r="AG26" s="2">
        <v>196926</v>
      </c>
      <c r="AH26" s="15">
        <v>163.97849462365591</v>
      </c>
      <c r="AI26" s="15">
        <f t="shared" si="17"/>
        <v>120092.57704918034</v>
      </c>
      <c r="AJ26" s="17">
        <f t="shared" si="18"/>
        <v>3.3376083377508956</v>
      </c>
      <c r="AK26" s="12">
        <f t="shared" si="20"/>
        <v>0.50720666198150099</v>
      </c>
      <c r="AL26" s="3"/>
      <c r="AM26" s="3"/>
    </row>
    <row r="27" spans="1:39" x14ac:dyDescent="0.3">
      <c r="A27">
        <f t="shared" si="4"/>
        <v>1918</v>
      </c>
      <c r="B27" s="2">
        <v>221421</v>
      </c>
      <c r="C27" s="2">
        <v>4606</v>
      </c>
      <c r="D27" s="2">
        <f t="shared" si="5"/>
        <v>216815</v>
      </c>
      <c r="E27" s="2">
        <v>188440</v>
      </c>
      <c r="F27" s="2">
        <v>15224</v>
      </c>
      <c r="G27" s="2">
        <f t="shared" si="6"/>
        <v>173216</v>
      </c>
      <c r="H27">
        <v>2377</v>
      </c>
      <c r="I27">
        <v>79704</v>
      </c>
      <c r="J27">
        <v>79704</v>
      </c>
      <c r="K27" s="2">
        <v>268107</v>
      </c>
      <c r="L27" s="2">
        <v>40830</v>
      </c>
      <c r="M27" s="2">
        <f t="shared" si="7"/>
        <v>227277</v>
      </c>
      <c r="N27" s="2">
        <v>41334</v>
      </c>
      <c r="O27" s="10">
        <f t="shared" si="8"/>
        <v>0.18186618091579879</v>
      </c>
      <c r="P27" s="15">
        <f>Sheet1!B28-Sheet1!C28+Sheet1!D28+Sheet2!J27</f>
        <v>123303</v>
      </c>
      <c r="Q27" s="10">
        <f t="shared" si="9"/>
        <v>0.64640762998467194</v>
      </c>
      <c r="R27" s="10">
        <f t="shared" si="10"/>
        <v>8.1724942617020346E-2</v>
      </c>
      <c r="S27" s="10">
        <f t="shared" si="11"/>
        <v>0.7039368267574303</v>
      </c>
      <c r="T27" s="10">
        <f t="shared" si="0"/>
        <v>0.7039368267574303</v>
      </c>
      <c r="U27">
        <f t="shared" si="12"/>
        <v>1918</v>
      </c>
      <c r="V27" s="10">
        <f t="shared" si="1"/>
        <v>8.1724942617020346E-2</v>
      </c>
      <c r="W27" s="10">
        <f t="shared" si="2"/>
        <v>8.1724942617020346E-2</v>
      </c>
      <c r="X27" s="10">
        <f t="shared" si="29"/>
        <v>0.13812316002043745</v>
      </c>
      <c r="Y27" s="10">
        <f t="shared" si="3"/>
        <v>6.3177347848301424E-2</v>
      </c>
      <c r="Z27">
        <f t="shared" si="14"/>
        <v>1918</v>
      </c>
      <c r="AA27" s="10">
        <f t="shared" si="26"/>
        <v>2.0234477867386698</v>
      </c>
      <c r="AB27" s="10">
        <f t="shared" si="27"/>
        <v>2.4421119222579302</v>
      </c>
      <c r="AC27" s="10">
        <f t="shared" si="28"/>
        <v>2.2949650813372187</v>
      </c>
      <c r="AD27" s="10">
        <f t="shared" si="19"/>
        <v>0.49420598176727304</v>
      </c>
      <c r="AE27" s="10">
        <f t="shared" si="15"/>
        <v>0.40948164205161369</v>
      </c>
      <c r="AF27" s="10">
        <f t="shared" si="16"/>
        <v>0.43573647727020104</v>
      </c>
      <c r="AG27" s="2">
        <v>216815</v>
      </c>
      <c r="AH27" s="15">
        <v>177.15053763440861</v>
      </c>
      <c r="AI27" s="15">
        <f t="shared" si="17"/>
        <v>122390.25796661607</v>
      </c>
      <c r="AJ27" s="17">
        <f t="shared" si="18"/>
        <v>3.0234477867386698</v>
      </c>
      <c r="AK27" s="12">
        <f t="shared" si="20"/>
        <v>0.46099682071189146</v>
      </c>
      <c r="AL27" s="3"/>
      <c r="AM27" s="3"/>
    </row>
    <row r="28" spans="1:39" x14ac:dyDescent="0.3">
      <c r="A28">
        <f t="shared" si="4"/>
        <v>1919</v>
      </c>
      <c r="B28" s="2">
        <v>235211</v>
      </c>
      <c r="C28" s="2">
        <v>5231</v>
      </c>
      <c r="D28" s="2">
        <f t="shared" si="5"/>
        <v>229980</v>
      </c>
      <c r="E28" s="2">
        <v>196856</v>
      </c>
      <c r="F28" s="2">
        <v>7689</v>
      </c>
      <c r="G28" s="2">
        <f t="shared" si="6"/>
        <v>189167</v>
      </c>
      <c r="H28">
        <v>2277</v>
      </c>
      <c r="I28">
        <v>98268</v>
      </c>
      <c r="J28">
        <v>98268</v>
      </c>
      <c r="K28" s="2">
        <v>276741</v>
      </c>
      <c r="L28" s="2">
        <v>51142</v>
      </c>
      <c r="M28" s="2">
        <f t="shared" si="7"/>
        <v>225599</v>
      </c>
      <c r="N28" s="2">
        <v>39979</v>
      </c>
      <c r="O28" s="10">
        <f t="shared" si="8"/>
        <v>0.17721266494975599</v>
      </c>
      <c r="P28" s="15">
        <f>Sheet1!B29-Sheet1!C29+Sheet1!D29+Sheet2!J28</f>
        <v>139081</v>
      </c>
      <c r="Q28" s="10">
        <f t="shared" si="9"/>
        <v>0.70655229686297916</v>
      </c>
      <c r="R28" s="10">
        <f t="shared" si="10"/>
        <v>0.10882466837989409</v>
      </c>
      <c r="S28" s="10">
        <f t="shared" si="11"/>
        <v>0.79283197345522061</v>
      </c>
      <c r="T28" s="10">
        <f t="shared" si="0"/>
        <v>0.79283197345522061</v>
      </c>
      <c r="U28">
        <f t="shared" si="12"/>
        <v>1919</v>
      </c>
      <c r="V28" s="10">
        <f t="shared" si="1"/>
        <v>0.10882466837989409</v>
      </c>
      <c r="W28" s="10">
        <f t="shared" si="2"/>
        <v>0.10882466837989409</v>
      </c>
      <c r="X28" s="10">
        <f t="shared" si="29"/>
        <v>5.7930270849361087E-2</v>
      </c>
      <c r="Y28" s="10">
        <f t="shared" si="3"/>
        <v>-2.3988836033303151E-2</v>
      </c>
      <c r="Z28">
        <f t="shared" si="14"/>
        <v>1919</v>
      </c>
      <c r="AA28" s="10">
        <f t="shared" si="26"/>
        <v>1.1556964036222226</v>
      </c>
      <c r="AB28" s="10">
        <f t="shared" si="27"/>
        <v>1.8095811183584432</v>
      </c>
      <c r="AC28" s="10">
        <f t="shared" si="28"/>
        <v>1.5603679719172272</v>
      </c>
      <c r="AD28" s="10">
        <f t="shared" si="19"/>
        <v>0.86527914845608789</v>
      </c>
      <c r="AE28" s="10">
        <f t="shared" si="15"/>
        <v>0.55261407728831047</v>
      </c>
      <c r="AF28" s="10">
        <f t="shared" si="16"/>
        <v>0.64087447191786306</v>
      </c>
      <c r="AG28" s="2">
        <v>229980</v>
      </c>
      <c r="AH28" s="15">
        <v>184.40860215053763</v>
      </c>
      <c r="AI28" s="15">
        <f t="shared" si="17"/>
        <v>124712.18658892128</v>
      </c>
      <c r="AJ28" s="17">
        <f t="shared" si="18"/>
        <v>2.1556964036222226</v>
      </c>
      <c r="AK28" s="12">
        <f t="shared" si="20"/>
        <v>0.67974256511168041</v>
      </c>
      <c r="AL28" s="3"/>
      <c r="AM28" s="3"/>
    </row>
    <row r="29" spans="1:39" x14ac:dyDescent="0.3">
      <c r="A29">
        <f t="shared" si="4"/>
        <v>1920</v>
      </c>
      <c r="B29" s="2">
        <v>284719</v>
      </c>
      <c r="C29" s="2">
        <v>8961</v>
      </c>
      <c r="D29" s="2">
        <f t="shared" si="5"/>
        <v>275758</v>
      </c>
      <c r="E29" s="2">
        <v>231494</v>
      </c>
      <c r="F29" s="2">
        <v>15579</v>
      </c>
      <c r="G29" s="2">
        <f t="shared" si="6"/>
        <v>215915</v>
      </c>
      <c r="H29">
        <v>4288</v>
      </c>
      <c r="I29">
        <v>133284</v>
      </c>
      <c r="J29">
        <f>I29*1.035</f>
        <v>137948.94</v>
      </c>
      <c r="K29" s="2">
        <v>374838</v>
      </c>
      <c r="L29" s="2">
        <v>63767</v>
      </c>
      <c r="M29" s="2">
        <f t="shared" si="7"/>
        <v>311071</v>
      </c>
      <c r="N29" s="2">
        <v>68478</v>
      </c>
      <c r="O29" s="10">
        <f t="shared" si="8"/>
        <v>0.22013623899367027</v>
      </c>
      <c r="P29" s="15">
        <f>Sheet1!B30-Sheet1!C30+Sheet1!D30+Sheet2!J29</f>
        <v>197791.94</v>
      </c>
      <c r="Q29" s="10">
        <f t="shared" si="9"/>
        <v>0.69744469870713643</v>
      </c>
      <c r="R29" s="10">
        <f t="shared" si="10"/>
        <v>8.5916620028641019E-2</v>
      </c>
      <c r="S29" s="10">
        <f t="shared" si="11"/>
        <v>0.76299899329642062</v>
      </c>
      <c r="T29" s="10">
        <f t="shared" si="0"/>
        <v>0.76299899329642062</v>
      </c>
      <c r="U29">
        <f t="shared" si="12"/>
        <v>1920</v>
      </c>
      <c r="V29" s="10">
        <f t="shared" si="1"/>
        <v>8.5916620028641019E-2</v>
      </c>
      <c r="W29" s="10">
        <f t="shared" si="2"/>
        <v>8.5916620028641019E-2</v>
      </c>
      <c r="X29" s="10">
        <f t="shared" si="29"/>
        <v>7.0073735057151421E-2</v>
      </c>
      <c r="Y29" s="10">
        <f t="shared" si="3"/>
        <v>2.3391866264599326E-2</v>
      </c>
      <c r="Z29">
        <f t="shared" si="14"/>
        <v>1920</v>
      </c>
      <c r="AA29" s="10">
        <f t="shared" si="26"/>
        <v>1.3563190998413606</v>
      </c>
      <c r="AB29" s="10">
        <f t="shared" si="27"/>
        <v>1.9649413476065019</v>
      </c>
      <c r="AC29" s="10">
        <f t="shared" si="28"/>
        <v>1.7384023790024943</v>
      </c>
      <c r="AD29" s="10">
        <f t="shared" si="19"/>
        <v>0.73728962462960468</v>
      </c>
      <c r="AE29" s="10">
        <f t="shared" si="15"/>
        <v>0.5089210429706218</v>
      </c>
      <c r="AF29" s="10">
        <f t="shared" si="16"/>
        <v>0.57524081425487117</v>
      </c>
      <c r="AG29" s="2">
        <v>275758</v>
      </c>
      <c r="AH29" s="15">
        <v>230.3763440860215</v>
      </c>
      <c r="AI29" s="15">
        <f t="shared" si="17"/>
        <v>119698.9218203034</v>
      </c>
      <c r="AJ29" s="17">
        <f t="shared" si="18"/>
        <v>2.3563190998413606</v>
      </c>
      <c r="AK29" s="12">
        <f t="shared" si="20"/>
        <v>0.80128438654284628</v>
      </c>
      <c r="AL29" s="3"/>
      <c r="AM29" s="3"/>
    </row>
    <row r="30" spans="1:39" x14ac:dyDescent="0.3">
      <c r="A30">
        <f t="shared" si="4"/>
        <v>1921</v>
      </c>
      <c r="B30" s="2">
        <v>227487</v>
      </c>
      <c r="C30" s="2">
        <v>6479</v>
      </c>
      <c r="D30" s="2">
        <f t="shared" si="5"/>
        <v>221008</v>
      </c>
      <c r="E30" s="2">
        <v>191332</v>
      </c>
      <c r="F30" s="2">
        <v>8487</v>
      </c>
      <c r="G30" s="2">
        <f t="shared" si="6"/>
        <v>182845</v>
      </c>
      <c r="H30">
        <v>2803</v>
      </c>
      <c r="I30">
        <v>76722</v>
      </c>
      <c r="J30">
        <f>I30*1.071</f>
        <v>82169.262000000002</v>
      </c>
      <c r="K30" s="2">
        <v>339274</v>
      </c>
      <c r="L30" s="2">
        <v>75326</v>
      </c>
      <c r="M30" s="2">
        <f t="shared" si="7"/>
        <v>263948</v>
      </c>
      <c r="N30" s="2">
        <v>45229</v>
      </c>
      <c r="O30" s="10">
        <f t="shared" si="8"/>
        <v>0.17135572158152362</v>
      </c>
      <c r="P30" s="15">
        <f>Sheet1!B31-Sheet1!C31+Sheet1!D31+Sheet2!J30</f>
        <v>120332.262</v>
      </c>
      <c r="Q30" s="10">
        <f t="shared" si="9"/>
        <v>0.68285313210517062</v>
      </c>
      <c r="R30" s="10">
        <f t="shared" si="10"/>
        <v>5.6303283204932948E-2</v>
      </c>
      <c r="S30" s="10">
        <f t="shared" si="11"/>
        <v>0.72359384106393876</v>
      </c>
      <c r="T30" s="10">
        <f t="shared" si="0"/>
        <v>0.72359384106393876</v>
      </c>
      <c r="U30">
        <f t="shared" si="12"/>
        <v>1921</v>
      </c>
      <c r="V30" s="10">
        <f t="shared" si="1"/>
        <v>5.6303283204932948E-2</v>
      </c>
      <c r="W30" s="10">
        <f t="shared" si="2"/>
        <v>5.6303283204932948E-2</v>
      </c>
      <c r="X30" s="10">
        <f t="shared" si="29"/>
        <v>8.9529157193105835E-2</v>
      </c>
      <c r="Y30" s="10">
        <f t="shared" si="3"/>
        <v>7.5964313312533727E-2</v>
      </c>
      <c r="Z30">
        <f t="shared" si="14"/>
        <v>1921</v>
      </c>
      <c r="AA30" s="10">
        <f t="shared" si="26"/>
        <v>1.607542967378619</v>
      </c>
      <c r="AB30" s="10">
        <f t="shared" si="27"/>
        <v>2.1486533237603722</v>
      </c>
      <c r="AC30" s="10">
        <f t="shared" si="28"/>
        <v>1.9522152796901537</v>
      </c>
      <c r="AD30" s="10">
        <f t="shared" si="19"/>
        <v>0.62206735390138623</v>
      </c>
      <c r="AE30" s="10">
        <f t="shared" si="15"/>
        <v>0.4654077923794116</v>
      </c>
      <c r="AF30" s="10">
        <f t="shared" si="16"/>
        <v>0.51223858885005513</v>
      </c>
      <c r="AG30" s="2">
        <v>221008</v>
      </c>
      <c r="AH30" s="15">
        <v>149.73118279569894</v>
      </c>
      <c r="AI30" s="15">
        <f t="shared" si="17"/>
        <v>147603.18850987431</v>
      </c>
      <c r="AJ30" s="17">
        <f t="shared" si="18"/>
        <v>2.607542967378619</v>
      </c>
      <c r="AK30" s="12">
        <f t="shared" si="20"/>
        <v>0.67967848926549546</v>
      </c>
      <c r="AL30" s="3"/>
      <c r="AM30" s="3"/>
    </row>
    <row r="31" spans="1:39" x14ac:dyDescent="0.3">
      <c r="A31">
        <f t="shared" si="4"/>
        <v>1922</v>
      </c>
      <c r="B31" s="2">
        <v>208253</v>
      </c>
      <c r="C31" s="2">
        <v>6409</v>
      </c>
      <c r="D31" s="2">
        <f t="shared" si="5"/>
        <v>201844</v>
      </c>
      <c r="E31" s="2">
        <v>169190</v>
      </c>
      <c r="F31" s="2">
        <v>12119</v>
      </c>
      <c r="G31" s="2">
        <f t="shared" si="6"/>
        <v>157071</v>
      </c>
      <c r="H31">
        <v>2561</v>
      </c>
      <c r="I31">
        <v>84678</v>
      </c>
      <c r="J31">
        <f>I31*1.108</f>
        <v>93823.224000000002</v>
      </c>
      <c r="K31" s="2">
        <v>355445</v>
      </c>
      <c r="L31" s="2">
        <v>63892</v>
      </c>
      <c r="M31" s="2">
        <f t="shared" si="7"/>
        <v>291553</v>
      </c>
      <c r="N31" s="2">
        <v>42765</v>
      </c>
      <c r="O31" s="10">
        <f t="shared" si="8"/>
        <v>0.14668002044225234</v>
      </c>
      <c r="P31" s="15">
        <f>Sheet1!B32-Sheet1!C32+Sheet1!D32+Sheet2!J31</f>
        <v>136946.22399999999</v>
      </c>
      <c r="Q31" s="10">
        <f t="shared" si="9"/>
        <v>0.68510997426259823</v>
      </c>
      <c r="R31" s="10">
        <f t="shared" si="10"/>
        <v>4.7904325343612005E-2</v>
      </c>
      <c r="S31" s="10">
        <f t="shared" si="11"/>
        <v>0.71958101743278569</v>
      </c>
      <c r="T31" s="10">
        <f t="shared" si="0"/>
        <v>0.71958101743278569</v>
      </c>
      <c r="U31">
        <f t="shared" si="12"/>
        <v>1922</v>
      </c>
      <c r="V31" s="10">
        <f t="shared" si="1"/>
        <v>4.7904325343612005E-2</v>
      </c>
      <c r="W31" s="10">
        <f t="shared" si="2"/>
        <v>4.7904325343612005E-2</v>
      </c>
      <c r="X31" s="10">
        <f t="shared" si="29"/>
        <v>8.6520034316535654E-2</v>
      </c>
      <c r="Y31" s="10">
        <f t="shared" si="3"/>
        <v>0.10386912799848502</v>
      </c>
      <c r="Z31">
        <f t="shared" si="14"/>
        <v>1922</v>
      </c>
      <c r="AA31" s="10">
        <f t="shared" si="26"/>
        <v>1.5731508198737445</v>
      </c>
      <c r="AB31" s="10">
        <f t="shared" si="27"/>
        <v>2.1240095616062948</v>
      </c>
      <c r="AC31" s="10">
        <f t="shared" si="28"/>
        <v>1.9234001903933082</v>
      </c>
      <c r="AD31" s="10">
        <f t="shared" si="19"/>
        <v>0.63566696045090987</v>
      </c>
      <c r="AE31" s="10">
        <f t="shared" si="15"/>
        <v>0.47080767340978635</v>
      </c>
      <c r="AF31" s="10">
        <f t="shared" si="16"/>
        <v>0.51991260320896304</v>
      </c>
      <c r="AG31" s="2">
        <v>201844</v>
      </c>
      <c r="AH31" s="15">
        <v>146.23655913978493</v>
      </c>
      <c r="AI31" s="15">
        <f t="shared" si="17"/>
        <v>138025.67647058825</v>
      </c>
      <c r="AJ31" s="17">
        <f t="shared" si="18"/>
        <v>2.5731508198737445</v>
      </c>
      <c r="AK31" s="12">
        <f t="shared" si="20"/>
        <v>0.62886715717614805</v>
      </c>
      <c r="AL31" s="3"/>
      <c r="AM31" s="3"/>
    </row>
    <row r="32" spans="1:39" x14ac:dyDescent="0.3">
      <c r="A32">
        <f t="shared" si="4"/>
        <v>1923</v>
      </c>
      <c r="B32" s="2">
        <v>279656</v>
      </c>
      <c r="C32" s="2">
        <v>6713</v>
      </c>
      <c r="D32" s="2">
        <f t="shared" si="5"/>
        <v>272943</v>
      </c>
      <c r="E32" s="2">
        <v>230718</v>
      </c>
      <c r="F32" s="2">
        <v>9442</v>
      </c>
      <c r="G32" s="2">
        <f t="shared" si="6"/>
        <v>221276</v>
      </c>
      <c r="H32" s="2">
        <v>2009</v>
      </c>
      <c r="I32">
        <v>106628</v>
      </c>
      <c r="J32">
        <f>I32*1.146</f>
        <v>122195.68799999999</v>
      </c>
      <c r="K32" s="2">
        <v>373567</v>
      </c>
      <c r="L32" s="2">
        <v>77684</v>
      </c>
      <c r="M32" s="2">
        <f t="shared" si="7"/>
        <v>295883</v>
      </c>
      <c r="N32" s="2">
        <v>28414</v>
      </c>
      <c r="O32" s="10">
        <f t="shared" si="8"/>
        <v>9.6031201522223317E-2</v>
      </c>
      <c r="P32" s="15">
        <f>Sheet1!B33-Sheet1!C33+Sheet1!D33+Sheet2!J32</f>
        <v>172229.68799999999</v>
      </c>
      <c r="Q32" s="10">
        <f t="shared" si="9"/>
        <v>0.70949259340236392</v>
      </c>
      <c r="R32" s="10">
        <f t="shared" si="10"/>
        <v>6.5630976042430914E-2</v>
      </c>
      <c r="S32" s="10">
        <f t="shared" si="11"/>
        <v>0.75932803336873345</v>
      </c>
      <c r="T32" s="10">
        <f t="shared" si="0"/>
        <v>0.75932803336873345</v>
      </c>
      <c r="U32">
        <f t="shared" si="12"/>
        <v>1923</v>
      </c>
      <c r="V32" s="10">
        <f t="shared" si="1"/>
        <v>6.5630976042430914E-2</v>
      </c>
      <c r="W32" s="10">
        <f t="shared" si="2"/>
        <v>6.5630976042430914E-2</v>
      </c>
      <c r="X32" s="10">
        <f t="shared" si="29"/>
        <v>5.4009875463514767E-2</v>
      </c>
      <c r="Y32" s="10">
        <f t="shared" si="3"/>
        <v>0.10274857297928019</v>
      </c>
      <c r="Z32">
        <f t="shared" si="14"/>
        <v>1923</v>
      </c>
      <c r="AA32" s="10">
        <f t="shared" si="26"/>
        <v>1.081464695213419</v>
      </c>
      <c r="AB32" s="10">
        <f t="shared" si="27"/>
        <v>1.7493702986887756</v>
      </c>
      <c r="AC32" s="10">
        <f t="shared" si="28"/>
        <v>1.4923122192935805</v>
      </c>
      <c r="AD32" s="10">
        <f t="shared" si="19"/>
        <v>0.92467188658679</v>
      </c>
      <c r="AE32" s="10">
        <f t="shared" si="15"/>
        <v>0.57163426219682634</v>
      </c>
      <c r="AF32" s="10">
        <f t="shared" si="16"/>
        <v>0.67010106000028091</v>
      </c>
      <c r="AG32" s="2">
        <v>272943</v>
      </c>
      <c r="AH32" s="15">
        <v>149.46236559139786</v>
      </c>
      <c r="AI32" s="15">
        <f t="shared" si="17"/>
        <v>182616.53956834532</v>
      </c>
      <c r="AJ32" s="17">
        <f t="shared" si="18"/>
        <v>2.0814646952134188</v>
      </c>
      <c r="AK32" s="12">
        <f t="shared" si="20"/>
        <v>0.78016942351884988</v>
      </c>
      <c r="AL32" s="3"/>
      <c r="AM32" s="3"/>
    </row>
    <row r="33" spans="1:39" x14ac:dyDescent="0.3">
      <c r="A33">
        <f t="shared" si="4"/>
        <v>1924</v>
      </c>
      <c r="B33" s="2">
        <v>310045</v>
      </c>
      <c r="C33" s="2">
        <v>8990</v>
      </c>
      <c r="D33" s="2">
        <f t="shared" si="5"/>
        <v>301055</v>
      </c>
      <c r="E33" s="2">
        <v>252315</v>
      </c>
      <c r="F33" s="2">
        <v>13507</v>
      </c>
      <c r="G33" s="2">
        <f t="shared" si="6"/>
        <v>238808</v>
      </c>
      <c r="H33" s="2">
        <v>1249</v>
      </c>
      <c r="I33">
        <v>104884.5</v>
      </c>
      <c r="J33">
        <f>I33*1.158</f>
        <v>121456.25099999999</v>
      </c>
      <c r="K33" s="2">
        <v>408259</v>
      </c>
      <c r="L33" s="2">
        <v>89612</v>
      </c>
      <c r="M33" s="2">
        <f t="shared" si="7"/>
        <v>318647</v>
      </c>
      <c r="N33" s="2">
        <v>20928</v>
      </c>
      <c r="O33" s="10">
        <f t="shared" si="8"/>
        <v>6.5677693497820475E-2</v>
      </c>
      <c r="P33" s="15">
        <f>Sheet1!B34-Sheet1!C34+Sheet1!D34+Sheet2!J33</f>
        <v>181900.25099999999</v>
      </c>
      <c r="Q33" s="10">
        <f t="shared" si="9"/>
        <v>0.66770799013355953</v>
      </c>
      <c r="R33" s="10">
        <f t="shared" si="10"/>
        <v>0.11167133756704424</v>
      </c>
      <c r="S33" s="10">
        <f t="shared" si="11"/>
        <v>0.75164521687822161</v>
      </c>
      <c r="T33" s="10">
        <f t="shared" si="0"/>
        <v>0.75164521687822161</v>
      </c>
      <c r="U33">
        <f t="shared" si="12"/>
        <v>1924</v>
      </c>
      <c r="V33" s="10">
        <f t="shared" si="1"/>
        <v>0.11167133756704424</v>
      </c>
      <c r="W33" s="10">
        <f t="shared" si="2"/>
        <v>0.11167133756704424</v>
      </c>
      <c r="X33" s="10">
        <f t="shared" si="29"/>
        <v>0.10972267982192063</v>
      </c>
      <c r="Y33" s="10">
        <f t="shared" si="3"/>
        <v>0.16434133046286747</v>
      </c>
      <c r="Z33">
        <f t="shared" si="14"/>
        <v>1924</v>
      </c>
      <c r="AA33" s="10">
        <f t="shared" si="26"/>
        <v>1.8071576939141869</v>
      </c>
      <c r="AB33" s="10">
        <f t="shared" si="27"/>
        <v>2.2898650806690277</v>
      </c>
      <c r="AC33" s="10">
        <f t="shared" si="28"/>
        <v>2.1175539752129815</v>
      </c>
      <c r="AD33" s="10">
        <f t="shared" si="19"/>
        <v>0.55335514070942227</v>
      </c>
      <c r="AE33" s="10">
        <f t="shared" si="15"/>
        <v>0.43670695205668231</v>
      </c>
      <c r="AF33" s="10">
        <f t="shared" si="16"/>
        <v>0.4722429802052252</v>
      </c>
      <c r="AG33" s="2">
        <v>301055</v>
      </c>
      <c r="AH33" s="15">
        <v>142.74193548387098</v>
      </c>
      <c r="AI33" s="15">
        <f t="shared" si="17"/>
        <v>210908.58757062146</v>
      </c>
      <c r="AJ33" s="17">
        <f t="shared" si="18"/>
        <v>2.8071576939141867</v>
      </c>
      <c r="AK33" s="12">
        <f t="shared" si="20"/>
        <v>0.73901351364810619</v>
      </c>
      <c r="AL33" s="3"/>
      <c r="AM33" s="3"/>
    </row>
    <row r="34" spans="1:39" x14ac:dyDescent="0.3">
      <c r="A34">
        <f t="shared" si="4"/>
        <v>1925</v>
      </c>
      <c r="B34" s="2">
        <v>300650</v>
      </c>
      <c r="C34" s="2">
        <v>7966</v>
      </c>
      <c r="D34" s="2">
        <f t="shared" si="5"/>
        <v>292684</v>
      </c>
      <c r="E34" s="2">
        <v>244273</v>
      </c>
      <c r="F34" s="2">
        <v>11806</v>
      </c>
      <c r="G34" s="2">
        <f t="shared" si="6"/>
        <v>232467</v>
      </c>
      <c r="H34" s="2">
        <v>1176</v>
      </c>
      <c r="I34">
        <v>102950</v>
      </c>
      <c r="J34">
        <f>I34*1.17</f>
        <v>120451.49999999999</v>
      </c>
      <c r="K34" s="2">
        <v>397248</v>
      </c>
      <c r="L34" s="2">
        <v>68658</v>
      </c>
      <c r="M34" s="2">
        <f t="shared" si="7"/>
        <v>328590</v>
      </c>
      <c r="N34" s="2">
        <v>15592</v>
      </c>
      <c r="O34" s="10">
        <f t="shared" si="8"/>
        <v>4.7451231017377277E-2</v>
      </c>
      <c r="P34" s="15">
        <f>Sheet1!B35-Sheet1!C35+Sheet1!D35+Sheet2!J34</f>
        <v>178274.5</v>
      </c>
      <c r="Q34" s="10">
        <f t="shared" si="9"/>
        <v>0.6756518739359807</v>
      </c>
      <c r="R34" s="10">
        <f t="shared" si="10"/>
        <v>6.3499399834368961E-2</v>
      </c>
      <c r="S34" s="10">
        <f t="shared" si="11"/>
        <v>0.72146443239490055</v>
      </c>
      <c r="T34" s="10">
        <f t="shared" si="0"/>
        <v>0.72146443239490055</v>
      </c>
      <c r="U34">
        <f t="shared" si="12"/>
        <v>1925</v>
      </c>
      <c r="V34" s="10">
        <f t="shared" si="1"/>
        <v>6.3499399834368961E-2</v>
      </c>
      <c r="W34" s="10">
        <f t="shared" si="2"/>
        <v>6.3499399834368961E-2</v>
      </c>
      <c r="X34" s="10">
        <f t="shared" si="29"/>
        <v>9.9130834752025776E-2</v>
      </c>
      <c r="Y34" s="10">
        <f t="shared" si="3"/>
        <v>0.16307212444446828</v>
      </c>
      <c r="Z34">
        <f t="shared" si="14"/>
        <v>1925</v>
      </c>
      <c r="AA34" s="10">
        <f t="shared" si="26"/>
        <v>1.7086018177419431</v>
      </c>
      <c r="AB34" s="10">
        <f t="shared" si="27"/>
        <v>2.2204452611120424</v>
      </c>
      <c r="AC34" s="10">
        <f t="shared" si="28"/>
        <v>2.0362659141548609</v>
      </c>
      <c r="AD34" s="10">
        <f t="shared" si="19"/>
        <v>0.58527387107757012</v>
      </c>
      <c r="AE34" s="10">
        <f t="shared" si="15"/>
        <v>0.45036012259053865</v>
      </c>
      <c r="AF34" s="10">
        <f t="shared" si="16"/>
        <v>0.49109499552520064</v>
      </c>
      <c r="AG34" s="2">
        <v>292684</v>
      </c>
      <c r="AH34" s="15">
        <v>146.7741935483871</v>
      </c>
      <c r="AI34" s="15">
        <f t="shared" si="17"/>
        <v>199411.07692307691</v>
      </c>
      <c r="AJ34" s="17">
        <f t="shared" si="18"/>
        <v>2.7086018177419433</v>
      </c>
      <c r="AK34" s="12">
        <f t="shared" si="20"/>
        <v>0.56931450589349619</v>
      </c>
      <c r="AL34" s="3"/>
      <c r="AM34" s="3"/>
    </row>
    <row r="35" spans="1:39" x14ac:dyDescent="0.3">
      <c r="A35">
        <f t="shared" si="4"/>
        <v>1926</v>
      </c>
      <c r="B35" s="2">
        <v>339536</v>
      </c>
      <c r="C35" s="2">
        <v>9914</v>
      </c>
      <c r="D35" s="2">
        <f t="shared" si="5"/>
        <v>329622</v>
      </c>
      <c r="E35" s="2">
        <v>274296</v>
      </c>
      <c r="F35" s="2">
        <v>14411</v>
      </c>
      <c r="G35" s="2">
        <f t="shared" si="6"/>
        <v>259885</v>
      </c>
      <c r="H35">
        <v>437</v>
      </c>
      <c r="I35">
        <v>111733.2</v>
      </c>
      <c r="J35">
        <f>I35*1.182</f>
        <v>132068.64239999998</v>
      </c>
      <c r="K35" s="2">
        <v>428329</v>
      </c>
      <c r="L35" s="2">
        <v>84634</v>
      </c>
      <c r="M35" s="2">
        <f t="shared" si="7"/>
        <v>343695</v>
      </c>
      <c r="N35" s="2">
        <v>6243</v>
      </c>
      <c r="O35" s="10">
        <f t="shared" si="8"/>
        <v>1.8164360843189457E-2</v>
      </c>
      <c r="P35" s="15">
        <f>Sheet1!B36-Sheet1!C36+Sheet1!D36+Sheet2!J35</f>
        <v>199157.64239999998</v>
      </c>
      <c r="Q35" s="10">
        <f t="shared" si="9"/>
        <v>0.66313620109413385</v>
      </c>
      <c r="R35" s="10">
        <f t="shared" si="10"/>
        <v>9.5385045289272996E-2</v>
      </c>
      <c r="S35" s="10">
        <f t="shared" si="11"/>
        <v>0.7330590740744366</v>
      </c>
      <c r="T35" s="10">
        <f t="shared" si="0"/>
        <v>0.7330590740744366</v>
      </c>
      <c r="U35">
        <f t="shared" si="12"/>
        <v>1926</v>
      </c>
      <c r="V35" s="10">
        <f t="shared" si="1"/>
        <v>9.5385045289272996E-2</v>
      </c>
      <c r="W35" s="10">
        <f t="shared" si="2"/>
        <v>9.5385045289272996E-2</v>
      </c>
      <c r="X35" s="10">
        <f t="shared" si="29"/>
        <v>0.11581839854115483</v>
      </c>
      <c r="Y35" s="10">
        <f t="shared" si="3"/>
        <v>0.18691458704954267</v>
      </c>
      <c r="Z35">
        <f t="shared" si="14"/>
        <v>1926</v>
      </c>
      <c r="AA35" s="10">
        <f t="shared" si="26"/>
        <v>1.8588013195950353</v>
      </c>
      <c r="AB35" s="10">
        <f t="shared" si="27"/>
        <v>2.3261383881678275</v>
      </c>
      <c r="AC35" s="10">
        <f t="shared" si="28"/>
        <v>2.1599730196056317</v>
      </c>
      <c r="AD35" s="10">
        <f t="shared" si="19"/>
        <v>0.53798111151430827</v>
      </c>
      <c r="AE35" s="10">
        <f t="shared" si="15"/>
        <v>0.42989703668819357</v>
      </c>
      <c r="AF35" s="10">
        <f t="shared" si="16"/>
        <v>0.46296874587006653</v>
      </c>
      <c r="AG35" s="2">
        <v>329622</v>
      </c>
      <c r="AH35" s="15">
        <v>143.01075268817206</v>
      </c>
      <c r="AI35" s="15">
        <f t="shared" si="17"/>
        <v>230487.56390977441</v>
      </c>
      <c r="AJ35" s="17">
        <f t="shared" si="18"/>
        <v>2.8588013195950355</v>
      </c>
      <c r="AK35" s="12">
        <f t="shared" si="20"/>
        <v>0.56162749129593914</v>
      </c>
      <c r="AL35" s="3"/>
      <c r="AM35" s="3"/>
    </row>
    <row r="36" spans="1:39" x14ac:dyDescent="0.3">
      <c r="A36">
        <f t="shared" si="4"/>
        <v>1927</v>
      </c>
      <c r="B36" s="2">
        <v>328000</v>
      </c>
      <c r="C36" s="2">
        <v>11609</v>
      </c>
      <c r="D36" s="2">
        <f t="shared" si="5"/>
        <v>316391</v>
      </c>
      <c r="E36" s="2">
        <v>263882</v>
      </c>
      <c r="F36" s="2">
        <v>11482</v>
      </c>
      <c r="G36" s="2">
        <f t="shared" si="6"/>
        <v>252400</v>
      </c>
      <c r="H36">
        <v>284</v>
      </c>
      <c r="I36" s="12">
        <v>130781.952</v>
      </c>
      <c r="J36" s="12">
        <v>130781.952</v>
      </c>
      <c r="K36" s="2">
        <v>409081</v>
      </c>
      <c r="L36" s="2">
        <v>102950</v>
      </c>
      <c r="M36" s="2">
        <f t="shared" si="7"/>
        <v>306131</v>
      </c>
      <c r="N36" s="2">
        <v>4057</v>
      </c>
      <c r="O36" s="10">
        <f t="shared" si="8"/>
        <v>1.3252496480264985E-2</v>
      </c>
      <c r="P36" s="15">
        <f>Sheet1!B37-Sheet1!C37+Sheet1!D37+Sheet2!J36</f>
        <v>190985.95199999999</v>
      </c>
      <c r="Q36" s="10">
        <f t="shared" si="9"/>
        <v>0.68477262662753335</v>
      </c>
      <c r="R36" s="10">
        <f t="shared" si="10"/>
        <v>9.8018233274389882E-2</v>
      </c>
      <c r="S36" s="10">
        <f t="shared" si="11"/>
        <v>0.75918677282513902</v>
      </c>
      <c r="T36" s="10">
        <f t="shared" si="0"/>
        <v>0.75918677282513902</v>
      </c>
      <c r="U36">
        <f t="shared" si="12"/>
        <v>1927</v>
      </c>
      <c r="V36" s="10">
        <f t="shared" si="1"/>
        <v>9.8018233274389882E-2</v>
      </c>
      <c r="W36" s="10">
        <f t="shared" si="2"/>
        <v>9.8018233274389882E-2</v>
      </c>
      <c r="X36" s="10">
        <f t="shared" si="29"/>
        <v>8.6969831163288824E-2</v>
      </c>
      <c r="Y36" s="10">
        <f t="shared" si="3"/>
        <v>7.5759034383573454E-3</v>
      </c>
      <c r="Z36">
        <f t="shared" si="14"/>
        <v>1927</v>
      </c>
      <c r="AA36" s="10">
        <f t="shared" si="26"/>
        <v>1.5783821150526536</v>
      </c>
      <c r="AB36" s="10">
        <f t="shared" si="27"/>
        <v>2.1277662572494687</v>
      </c>
      <c r="AC36" s="10">
        <f t="shared" si="28"/>
        <v>1.9277909811115184</v>
      </c>
      <c r="AD36" s="10">
        <f t="shared" si="19"/>
        <v>0.63356014393678095</v>
      </c>
      <c r="AE36" s="10">
        <f t="shared" si="15"/>
        <v>0.46997643495516511</v>
      </c>
      <c r="AF36" s="10">
        <f t="shared" si="16"/>
        <v>0.5187284357059414</v>
      </c>
      <c r="AG36" s="2">
        <v>316391</v>
      </c>
      <c r="AH36" s="15">
        <v>134.40860215053763</v>
      </c>
      <c r="AI36" s="15">
        <f t="shared" si="17"/>
        <v>235394.90400000001</v>
      </c>
      <c r="AJ36" s="17">
        <f t="shared" si="18"/>
        <v>2.5783821150526536</v>
      </c>
      <c r="AK36" s="12">
        <f t="shared" si="20"/>
        <v>0.58577062772554456</v>
      </c>
      <c r="AL36" s="3"/>
      <c r="AM36" s="3"/>
    </row>
    <row r="37" spans="1:39" x14ac:dyDescent="0.3">
      <c r="A37">
        <f t="shared" si="4"/>
        <v>1928</v>
      </c>
      <c r="B37" s="2">
        <v>354860</v>
      </c>
      <c r="C37" s="2">
        <v>14065</v>
      </c>
      <c r="D37" s="2">
        <f t="shared" si="5"/>
        <v>340795</v>
      </c>
      <c r="E37" s="2">
        <v>287857</v>
      </c>
      <c r="F37" s="2">
        <v>10373</v>
      </c>
      <c r="G37" s="2">
        <f t="shared" si="6"/>
        <v>277484</v>
      </c>
      <c r="H37">
        <v>322</v>
      </c>
      <c r="I37" s="12">
        <v>134037.89799999999</v>
      </c>
      <c r="J37" s="12">
        <v>134037.89799999999</v>
      </c>
      <c r="K37" s="2">
        <v>440921</v>
      </c>
      <c r="L37" s="2">
        <v>108821</v>
      </c>
      <c r="M37" s="2">
        <f t="shared" si="7"/>
        <v>332100</v>
      </c>
      <c r="N37" s="7">
        <v>4600</v>
      </c>
      <c r="O37" s="10">
        <f t="shared" si="8"/>
        <v>1.3851249623607348E-2</v>
      </c>
      <c r="P37" s="15">
        <f>Sheet1!B38-Sheet1!C38+Sheet1!D38+Sheet2!J37</f>
        <v>193742.89799999999</v>
      </c>
      <c r="Q37" s="10">
        <f t="shared" si="9"/>
        <v>0.69183386531154289</v>
      </c>
      <c r="R37" s="10">
        <f t="shared" si="10"/>
        <v>8.6641627503682775E-2</v>
      </c>
      <c r="S37" s="10">
        <f t="shared" si="11"/>
        <v>0.75746156836629031</v>
      </c>
      <c r="T37" s="10">
        <f t="shared" si="0"/>
        <v>0.75746156836629031</v>
      </c>
      <c r="U37">
        <f t="shared" si="12"/>
        <v>1928</v>
      </c>
      <c r="V37" s="10">
        <f t="shared" si="1"/>
        <v>8.6641627503682775E-2</v>
      </c>
      <c r="W37" s="10">
        <f t="shared" si="2"/>
        <v>8.6641627503682775E-2</v>
      </c>
      <c r="X37" s="10">
        <f t="shared" si="29"/>
        <v>7.7554846251276177E-2</v>
      </c>
      <c r="Y37" s="10">
        <f t="shared" si="3"/>
        <v>-2.6577758138304208E-3</v>
      </c>
      <c r="Z37">
        <f t="shared" si="14"/>
        <v>1928</v>
      </c>
      <c r="AA37" s="10">
        <f t="shared" si="26"/>
        <v>1.461591325477797</v>
      </c>
      <c r="AB37" s="10">
        <f t="shared" si="27"/>
        <v>2.0430756201558955</v>
      </c>
      <c r="AC37" s="10">
        <f t="shared" si="28"/>
        <v>1.8290133593909501</v>
      </c>
      <c r="AD37" s="10">
        <f t="shared" si="19"/>
        <v>0.68418577927253232</v>
      </c>
      <c r="AE37" s="10">
        <f t="shared" si="15"/>
        <v>0.48945814346494709</v>
      </c>
      <c r="AF37" s="10">
        <f t="shared" si="16"/>
        <v>0.54674286268362393</v>
      </c>
      <c r="AG37" s="2">
        <v>340795</v>
      </c>
      <c r="AH37" s="15">
        <v>132.52688172043011</v>
      </c>
      <c r="AI37" s="15">
        <f t="shared" si="17"/>
        <v>257151.6024340771</v>
      </c>
      <c r="AJ37" s="17">
        <f t="shared" si="18"/>
        <v>2.461591325477797</v>
      </c>
      <c r="AK37" s="12">
        <f t="shared" si="20"/>
        <v>0.65887296160465669</v>
      </c>
      <c r="AL37" s="3"/>
      <c r="AM37" s="3"/>
    </row>
    <row r="38" spans="1:39" x14ac:dyDescent="0.3">
      <c r="A38">
        <f t="shared" si="4"/>
        <v>1929</v>
      </c>
      <c r="B38" s="2">
        <v>436764</v>
      </c>
      <c r="C38" s="6">
        <v>17496</v>
      </c>
      <c r="D38" s="2">
        <f t="shared" si="5"/>
        <v>419268</v>
      </c>
      <c r="E38" s="2">
        <v>350418</v>
      </c>
      <c r="F38" s="2">
        <v>5303</v>
      </c>
      <c r="G38" s="2">
        <f t="shared" si="6"/>
        <v>345115</v>
      </c>
      <c r="H38">
        <v>451</v>
      </c>
      <c r="I38" s="12">
        <v>163115.715</v>
      </c>
      <c r="J38" s="12">
        <v>163115.715</v>
      </c>
      <c r="K38" s="2">
        <v>491657</v>
      </c>
      <c r="L38" s="2">
        <v>183779</v>
      </c>
      <c r="M38" s="2">
        <f t="shared" si="7"/>
        <v>307878</v>
      </c>
      <c r="N38" s="7">
        <v>6443</v>
      </c>
      <c r="O38" s="10">
        <f t="shared" si="8"/>
        <v>2.0927120482788636E-2</v>
      </c>
      <c r="P38" s="15">
        <f>Sheet1!B39-Sheet1!C39+Sheet1!D39+Sheet2!J38</f>
        <v>233338.715</v>
      </c>
      <c r="Q38" s="10">
        <f t="shared" si="9"/>
        <v>0.69905122688277421</v>
      </c>
      <c r="R38" s="10">
        <f t="shared" si="10"/>
        <v>0.14891924380555305</v>
      </c>
      <c r="S38" s="10">
        <f t="shared" si="11"/>
        <v>0.82136885576938312</v>
      </c>
      <c r="T38" s="10">
        <f t="shared" si="0"/>
        <v>0.82136885576938312</v>
      </c>
      <c r="U38">
        <f t="shared" si="12"/>
        <v>1929</v>
      </c>
      <c r="V38" s="10">
        <f t="shared" si="1"/>
        <v>0.14891924380555305</v>
      </c>
      <c r="W38" s="10">
        <f t="shared" si="2"/>
        <v>0.14891924380555305</v>
      </c>
      <c r="X38" s="10">
        <f t="shared" si="29"/>
        <v>6.7931697489634346E-2</v>
      </c>
      <c r="Y38" s="10">
        <f t="shared" si="3"/>
        <v>-1.3117720119962595E-2</v>
      </c>
      <c r="Z38">
        <f t="shared" si="14"/>
        <v>1929</v>
      </c>
      <c r="AA38" s="10">
        <f t="shared" si="26"/>
        <v>1.3238119164442665</v>
      </c>
      <c r="AB38" s="10">
        <f t="shared" si="27"/>
        <v>1.9403956877986683</v>
      </c>
      <c r="AC38" s="10">
        <f t="shared" si="28"/>
        <v>1.7100685708332901</v>
      </c>
      <c r="AD38" s="10">
        <f t="shared" si="19"/>
        <v>0.75539431816415492</v>
      </c>
      <c r="AE38" s="10">
        <f t="shared" si="15"/>
        <v>0.51535880351005914</v>
      </c>
      <c r="AF38" s="10">
        <f t="shared" si="16"/>
        <v>0.58477187234235606</v>
      </c>
      <c r="AG38" s="2">
        <v>419872</v>
      </c>
      <c r="AH38" s="15">
        <v>130.64516129032259</v>
      </c>
      <c r="AI38" s="15">
        <f t="shared" si="17"/>
        <v>321383.50617283949</v>
      </c>
      <c r="AJ38" s="17">
        <f t="shared" si="18"/>
        <v>2.3238119164442663</v>
      </c>
      <c r="AK38" s="12">
        <f t="shared" si="20"/>
        <v>0.71979004871834362</v>
      </c>
      <c r="AL38" s="3"/>
      <c r="AM38" s="3"/>
    </row>
    <row r="39" spans="1:39" x14ac:dyDescent="0.3">
      <c r="A39">
        <f t="shared" si="4"/>
        <v>1930</v>
      </c>
      <c r="B39" s="2">
        <v>396242</v>
      </c>
      <c r="C39" s="6">
        <v>18317</v>
      </c>
      <c r="D39" s="2">
        <f t="shared" si="5"/>
        <v>377925</v>
      </c>
      <c r="E39" s="2">
        <v>325710</v>
      </c>
      <c r="F39" s="2">
        <v>10582</v>
      </c>
      <c r="G39" s="2">
        <f t="shared" si="6"/>
        <v>315128</v>
      </c>
      <c r="H39">
        <v>313</v>
      </c>
      <c r="I39" s="12">
        <v>140927.24</v>
      </c>
      <c r="J39" s="12">
        <v>140927.24</v>
      </c>
      <c r="K39" s="2">
        <v>493972</v>
      </c>
      <c r="L39" s="2">
        <v>204810</v>
      </c>
      <c r="M39" s="2">
        <f t="shared" si="7"/>
        <v>289162</v>
      </c>
      <c r="N39" s="7">
        <v>4471</v>
      </c>
      <c r="O39" s="10">
        <f t="shared" si="8"/>
        <v>1.546192099930143E-2</v>
      </c>
      <c r="P39" s="15">
        <f>Sheet1!B40-Sheet1!C40+Sheet1!D40+Sheet2!J39</f>
        <v>201966.24</v>
      </c>
      <c r="Q39" s="10">
        <f t="shared" si="9"/>
        <v>0.69777622240231829</v>
      </c>
      <c r="R39" s="10">
        <f t="shared" si="10"/>
        <v>0.10950546808860463</v>
      </c>
      <c r="S39" s="10">
        <f t="shared" si="11"/>
        <v>0.78358282661723</v>
      </c>
      <c r="T39" s="10">
        <f t="shared" si="0"/>
        <v>0.78358282661723</v>
      </c>
      <c r="U39">
        <f t="shared" si="12"/>
        <v>1930</v>
      </c>
      <c r="V39" s="10">
        <f t="shared" si="1"/>
        <v>0.10950546808860463</v>
      </c>
      <c r="W39" s="10">
        <f t="shared" si="2"/>
        <v>0.10950546808860463</v>
      </c>
      <c r="X39" s="10">
        <f t="shared" si="29"/>
        <v>6.9631703463575612E-2</v>
      </c>
      <c r="Y39" s="10">
        <f t="shared" si="3"/>
        <v>-1.1269887539591794E-2</v>
      </c>
      <c r="Z39">
        <f t="shared" si="14"/>
        <v>1930</v>
      </c>
      <c r="AA39" s="10">
        <f t="shared" si="26"/>
        <v>1.3497027234187837</v>
      </c>
      <c r="AB39" s="10">
        <f t="shared" si="27"/>
        <v>1.9599627169470373</v>
      </c>
      <c r="AC39" s="10">
        <f t="shared" si="28"/>
        <v>1.7326498686487231</v>
      </c>
      <c r="AD39" s="10">
        <f t="shared" si="19"/>
        <v>0.74090389138951263</v>
      </c>
      <c r="AE39" s="10">
        <f t="shared" si="15"/>
        <v>0.51021378690185681</v>
      </c>
      <c r="AF39" s="10">
        <f t="shared" si="16"/>
        <v>0.57715065120449893</v>
      </c>
      <c r="AG39" s="2">
        <v>377925</v>
      </c>
      <c r="AH39" s="15">
        <v>121.50537634408603</v>
      </c>
      <c r="AI39" s="15">
        <f t="shared" si="17"/>
        <v>311035.61946902651</v>
      </c>
      <c r="AJ39" s="17">
        <f t="shared" si="18"/>
        <v>2.3497027234187837</v>
      </c>
      <c r="AK39" s="12">
        <f t="shared" si="20"/>
        <v>0.74814910477683383</v>
      </c>
      <c r="AL39" s="3"/>
      <c r="AM39" s="3"/>
    </row>
    <row r="40" spans="1:39" x14ac:dyDescent="0.3">
      <c r="A40">
        <f t="shared" si="4"/>
        <v>1931</v>
      </c>
      <c r="B40" s="2">
        <v>276274</v>
      </c>
      <c r="C40" s="6">
        <v>12977</v>
      </c>
      <c r="D40" s="2">
        <f t="shared" si="5"/>
        <v>263297</v>
      </c>
      <c r="E40" s="2">
        <v>227719</v>
      </c>
      <c r="F40" s="2">
        <v>8859</v>
      </c>
      <c r="G40" s="2">
        <f t="shared" si="6"/>
        <v>218860</v>
      </c>
      <c r="H40">
        <v>433</v>
      </c>
      <c r="I40" s="12">
        <v>106660.048</v>
      </c>
      <c r="J40" s="12">
        <v>106660.048</v>
      </c>
      <c r="K40" s="2">
        <v>444926</v>
      </c>
      <c r="L40" s="2">
        <v>179308</v>
      </c>
      <c r="M40" s="2">
        <f t="shared" si="7"/>
        <v>265618</v>
      </c>
      <c r="N40" s="7">
        <v>6186</v>
      </c>
      <c r="O40" s="10">
        <f t="shared" si="8"/>
        <v>2.328908432410454E-2</v>
      </c>
      <c r="P40" s="15">
        <f>Sheet1!B41-Sheet1!C41+Sheet1!D41+Sheet2!J40</f>
        <v>151075.04800000001</v>
      </c>
      <c r="Q40" s="10">
        <f t="shared" si="9"/>
        <v>0.70600704359862254</v>
      </c>
      <c r="R40" s="10">
        <f t="shared" si="10"/>
        <v>6.3058979004839269E-2</v>
      </c>
      <c r="S40" s="10">
        <f t="shared" si="11"/>
        <v>0.75352346388756208</v>
      </c>
      <c r="T40" s="10">
        <f t="shared" si="0"/>
        <v>0.75352346388756208</v>
      </c>
      <c r="U40">
        <f t="shared" si="12"/>
        <v>1931</v>
      </c>
      <c r="V40" s="10">
        <f t="shared" si="1"/>
        <v>6.3058979004839269E-2</v>
      </c>
      <c r="W40" s="10">
        <f t="shared" si="2"/>
        <v>6.3058979004839269E-2</v>
      </c>
      <c r="X40" s="10">
        <f t="shared" si="29"/>
        <v>5.8657275201836612E-2</v>
      </c>
      <c r="Y40" s="10">
        <f t="shared" si="3"/>
        <v>-2.3198613911047161E-2</v>
      </c>
      <c r="Z40">
        <f t="shared" si="14"/>
        <v>1931</v>
      </c>
      <c r="AA40" s="10">
        <f t="shared" si="26"/>
        <v>1.1689091594711623</v>
      </c>
      <c r="AB40" s="10">
        <f t="shared" si="27"/>
        <v>1.820126190554868</v>
      </c>
      <c r="AC40" s="10">
        <f t="shared" si="28"/>
        <v>1.5723457228541475</v>
      </c>
      <c r="AD40" s="10">
        <f t="shared" si="19"/>
        <v>0.85549847214168451</v>
      </c>
      <c r="AE40" s="10">
        <f t="shared" si="15"/>
        <v>0.54941245567987163</v>
      </c>
      <c r="AF40" s="10">
        <f t="shared" si="16"/>
        <v>0.63599244457814519</v>
      </c>
      <c r="AG40" s="2">
        <v>263297</v>
      </c>
      <c r="AH40" s="15">
        <v>107.25806451612902</v>
      </c>
      <c r="AI40" s="15">
        <f t="shared" si="17"/>
        <v>245479.90977443609</v>
      </c>
      <c r="AJ40" s="17">
        <f t="shared" si="18"/>
        <v>2.1689091594711623</v>
      </c>
      <c r="AK40" s="12">
        <f t="shared" si="20"/>
        <v>0.79820118176559851</v>
      </c>
      <c r="AL40" s="3"/>
      <c r="AM40" s="3"/>
    </row>
    <row r="41" spans="1:39" x14ac:dyDescent="0.3">
      <c r="A41">
        <f t="shared" si="4"/>
        <v>1932</v>
      </c>
      <c r="B41" s="2">
        <v>158250</v>
      </c>
      <c r="C41" s="6">
        <v>8107</v>
      </c>
      <c r="D41" s="2">
        <f t="shared" si="5"/>
        <v>150143</v>
      </c>
      <c r="E41" s="2">
        <v>140252</v>
      </c>
      <c r="F41" s="2">
        <v>6581</v>
      </c>
      <c r="G41" s="2">
        <f t="shared" si="6"/>
        <v>133671</v>
      </c>
      <c r="H41">
        <v>314</v>
      </c>
      <c r="I41" s="12">
        <v>61401.444000000003</v>
      </c>
      <c r="J41" s="12">
        <v>61401.444000000003</v>
      </c>
      <c r="K41" s="2">
        <v>405121</v>
      </c>
      <c r="L41" s="2">
        <v>154998</v>
      </c>
      <c r="M41" s="2">
        <f t="shared" si="7"/>
        <v>250123</v>
      </c>
      <c r="N41" s="7">
        <v>6538</v>
      </c>
      <c r="O41" s="10">
        <f t="shared" si="8"/>
        <v>2.6139139543344674E-2</v>
      </c>
      <c r="P41" s="15">
        <f>Sheet1!B42-Sheet1!C42+Sheet1!D42+Sheet2!J41</f>
        <v>74892.444000000003</v>
      </c>
      <c r="Q41" s="10">
        <f t="shared" si="9"/>
        <v>0.81986166721972642</v>
      </c>
      <c r="R41" s="10">
        <f t="shared" si="10"/>
        <v>-0.13229227873893118</v>
      </c>
      <c r="S41" s="10">
        <f t="shared" si="11"/>
        <v>0.72407247016894938</v>
      </c>
      <c r="T41" s="10">
        <f t="shared" si="0"/>
        <v>0.72407247016894938</v>
      </c>
      <c r="U41">
        <f t="shared" si="12"/>
        <v>1932</v>
      </c>
      <c r="V41" s="10">
        <f t="shared" si="1"/>
        <v>-0.13229227873893118</v>
      </c>
      <c r="W41" s="10">
        <f t="shared" si="2"/>
        <v>-0.13229227873893118</v>
      </c>
      <c r="X41" s="10">
        <f t="shared" si="29"/>
        <v>-9.3148889626301967E-2</v>
      </c>
      <c r="Y41" s="10">
        <f t="shared" si="3"/>
        <v>-0.18820531481119773</v>
      </c>
      <c r="Z41">
        <f t="shared" si="14"/>
        <v>1932</v>
      </c>
      <c r="AA41" s="10">
        <v>1</v>
      </c>
      <c r="AB41" s="10">
        <v>1</v>
      </c>
      <c r="AC41" s="10">
        <v>1</v>
      </c>
      <c r="AD41" s="10">
        <f t="shared" si="19"/>
        <v>1</v>
      </c>
      <c r="AE41" s="10">
        <f t="shared" si="15"/>
        <v>1</v>
      </c>
      <c r="AF41" s="10">
        <f t="shared" si="16"/>
        <v>1</v>
      </c>
      <c r="AG41" s="2">
        <v>150143</v>
      </c>
      <c r="AH41" s="15">
        <v>100.26881720430107</v>
      </c>
      <c r="AI41" s="15">
        <f t="shared" si="17"/>
        <v>149740.47184986595</v>
      </c>
      <c r="AJ41" s="17">
        <f t="shared" si="18"/>
        <v>2</v>
      </c>
      <c r="AK41" s="12">
        <f t="shared" si="20"/>
        <v>0.92774923607084225</v>
      </c>
      <c r="AL41" s="3"/>
      <c r="AM41" s="3"/>
    </row>
    <row r="42" spans="1:39" x14ac:dyDescent="0.3">
      <c r="A42">
        <f t="shared" si="4"/>
        <v>1933</v>
      </c>
      <c r="B42" s="2">
        <v>143604</v>
      </c>
      <c r="C42" s="6">
        <v>5701</v>
      </c>
      <c r="D42" s="2">
        <f t="shared" si="5"/>
        <v>137903</v>
      </c>
      <c r="E42" s="2">
        <v>118772</v>
      </c>
      <c r="F42" s="2">
        <v>6180</v>
      </c>
      <c r="G42" s="2">
        <f t="shared" si="6"/>
        <v>112592</v>
      </c>
      <c r="H42">
        <v>410</v>
      </c>
      <c r="I42" s="12">
        <v>55274.8</v>
      </c>
      <c r="J42" s="12">
        <v>55274.8</v>
      </c>
      <c r="K42" s="2">
        <v>375137</v>
      </c>
      <c r="L42" s="2">
        <v>154683</v>
      </c>
      <c r="M42" s="2">
        <f t="shared" si="7"/>
        <v>220454</v>
      </c>
      <c r="N42" s="7">
        <v>6527</v>
      </c>
      <c r="O42" s="10">
        <f t="shared" si="8"/>
        <v>2.9607083563918096E-2</v>
      </c>
      <c r="P42" s="15">
        <f>Sheet1!B43-Sheet1!C43+Sheet1!D43+Sheet2!J42</f>
        <v>73139.8</v>
      </c>
      <c r="Q42" s="10">
        <f t="shared" si="9"/>
        <v>0.75574174389320181</v>
      </c>
      <c r="R42" s="10">
        <f t="shared" si="10"/>
        <v>-0.10530863273414197</v>
      </c>
      <c r="S42" s="10">
        <f t="shared" si="11"/>
        <v>0.68373820805485297</v>
      </c>
      <c r="T42" s="10">
        <f t="shared" si="0"/>
        <v>0.68373820805485297</v>
      </c>
      <c r="U42">
        <f t="shared" si="12"/>
        <v>1933</v>
      </c>
      <c r="V42" s="10">
        <f t="shared" si="1"/>
        <v>-0.10530863273414197</v>
      </c>
      <c r="W42" s="10">
        <f t="shared" si="2"/>
        <v>-0.10530863273414197</v>
      </c>
      <c r="X42" s="10">
        <f t="shared" si="29"/>
        <v>-7.6556585242690822E-3</v>
      </c>
      <c r="Y42" s="10">
        <f t="shared" si="3"/>
        <v>-9.5277889700292606E-2</v>
      </c>
      <c r="Z42">
        <f t="shared" si="14"/>
        <v>1933</v>
      </c>
      <c r="AA42" s="10">
        <f t="shared" ref="AA42:AA48" si="30">POWER((20/19)*(1-X42),-1/X42)</f>
        <v>2200.0635587356724</v>
      </c>
      <c r="AB42" s="10">
        <f t="shared" ref="AB42:AB48" si="31">POWER((40/39)*(1-X42),-1/X42)</f>
        <v>73.940655349596994</v>
      </c>
      <c r="AC42" s="10">
        <f t="shared" ref="AC42:AC48" si="32">POWER((30/29)*(1-X42),-1/X42)</f>
        <v>226.89593341550145</v>
      </c>
      <c r="AD42" s="10">
        <f t="shared" si="19"/>
        <v>4.5453232295465033E-4</v>
      </c>
      <c r="AE42" s="10">
        <f t="shared" si="15"/>
        <v>1.352435943760472E-2</v>
      </c>
      <c r="AF42" s="10">
        <f t="shared" si="16"/>
        <v>4.4073068430396135E-3</v>
      </c>
      <c r="AG42" s="2">
        <v>137903</v>
      </c>
      <c r="AH42" s="15">
        <v>101.61290322580645</v>
      </c>
      <c r="AI42" s="15">
        <f t="shared" si="17"/>
        <v>135714.06349206349</v>
      </c>
      <c r="AJ42" s="17">
        <f t="shared" si="18"/>
        <v>2201.0635587356724</v>
      </c>
      <c r="AK42" s="12">
        <f t="shared" si="20"/>
        <v>0.50022726616147728</v>
      </c>
      <c r="AL42" s="3"/>
      <c r="AM42" s="3"/>
    </row>
    <row r="43" spans="1:39" x14ac:dyDescent="0.3">
      <c r="A43">
        <f t="shared" si="4"/>
        <v>1934</v>
      </c>
      <c r="B43" s="2">
        <v>173144</v>
      </c>
      <c r="C43" s="6">
        <v>7604</v>
      </c>
      <c r="D43" s="2">
        <f t="shared" si="5"/>
        <v>165540</v>
      </c>
      <c r="E43" s="2">
        <v>140125</v>
      </c>
      <c r="F43" s="2">
        <v>7336</v>
      </c>
      <c r="G43" s="2">
        <f t="shared" si="6"/>
        <v>132789</v>
      </c>
      <c r="H43">
        <v>366</v>
      </c>
      <c r="I43" s="12">
        <v>75207.63</v>
      </c>
      <c r="J43" s="12">
        <v>75207.63</v>
      </c>
      <c r="K43" s="2">
        <v>377940</v>
      </c>
      <c r="L43" s="2">
        <v>156273</v>
      </c>
      <c r="M43" s="2">
        <f t="shared" si="7"/>
        <v>221667</v>
      </c>
      <c r="N43" s="7">
        <v>5332</v>
      </c>
      <c r="O43" s="10">
        <f t="shared" si="8"/>
        <v>2.4054099166768171E-2</v>
      </c>
      <c r="P43" s="15">
        <f>Sheet1!B44-Sheet1!C44+Sheet1!D44+Sheet2!J43</f>
        <v>99624.63</v>
      </c>
      <c r="Q43" s="10">
        <f t="shared" si="9"/>
        <v>0.75491000568835243</v>
      </c>
      <c r="R43" s="10">
        <f t="shared" si="10"/>
        <v>-4.2368865215661605E-2</v>
      </c>
      <c r="S43" s="10">
        <f t="shared" si="11"/>
        <v>0.72422539743852088</v>
      </c>
      <c r="T43" s="10">
        <f t="shared" si="0"/>
        <v>0.72422539743852088</v>
      </c>
      <c r="U43">
        <f t="shared" si="12"/>
        <v>1934</v>
      </c>
      <c r="V43" s="10">
        <f t="shared" si="1"/>
        <v>-4.2368865215661605E-2</v>
      </c>
      <c r="W43" s="10">
        <f t="shared" si="2"/>
        <v>-4.2368865215661605E-2</v>
      </c>
      <c r="X43" s="10">
        <f t="shared" si="29"/>
        <v>-6.5466742511366416E-3</v>
      </c>
      <c r="Y43" s="10">
        <f t="shared" si="3"/>
        <v>-9.4072472012105113E-2</v>
      </c>
      <c r="Z43">
        <f t="shared" si="14"/>
        <v>1934</v>
      </c>
      <c r="AA43" s="10">
        <f t="shared" si="30"/>
        <v>6848.3046433680629</v>
      </c>
      <c r="AB43" s="10">
        <f t="shared" si="31"/>
        <v>129.54375204820334</v>
      </c>
      <c r="AC43" s="10">
        <f t="shared" si="32"/>
        <v>480.66936218768927</v>
      </c>
      <c r="AD43" s="10">
        <f t="shared" si="19"/>
        <v>1.4602154139979823E-4</v>
      </c>
      <c r="AE43" s="10">
        <f t="shared" si="15"/>
        <v>7.7193996946135933E-3</v>
      </c>
      <c r="AF43" s="10">
        <f t="shared" si="16"/>
        <v>2.08043216120258E-3</v>
      </c>
      <c r="AG43" s="2">
        <v>165540</v>
      </c>
      <c r="AH43" s="15">
        <v>111.82795698924731</v>
      </c>
      <c r="AI43" s="15">
        <f t="shared" si="17"/>
        <v>148030.96153846153</v>
      </c>
      <c r="AJ43" s="17">
        <f t="shared" si="18"/>
        <v>6849.3046433680629</v>
      </c>
      <c r="AK43" s="12">
        <f t="shared" si="20"/>
        <v>3.0027693217722428E-4</v>
      </c>
      <c r="AL43" s="3"/>
      <c r="AM43" s="3"/>
    </row>
    <row r="44" spans="1:39" x14ac:dyDescent="0.3">
      <c r="A44">
        <f t="shared" si="4"/>
        <v>1935</v>
      </c>
      <c r="B44" s="2">
        <v>218458</v>
      </c>
      <c r="C44" s="6">
        <v>9208</v>
      </c>
      <c r="D44" s="2">
        <f t="shared" si="5"/>
        <v>209250</v>
      </c>
      <c r="E44" s="2">
        <v>167729</v>
      </c>
      <c r="F44" s="2">
        <v>9339</v>
      </c>
      <c r="G44" s="2">
        <f t="shared" si="6"/>
        <v>158390</v>
      </c>
      <c r="H44">
        <v>273</v>
      </c>
      <c r="I44" s="12">
        <v>88739.657999999996</v>
      </c>
      <c r="J44" s="12">
        <v>88739.657999999996</v>
      </c>
      <c r="K44" s="2">
        <v>398126</v>
      </c>
      <c r="L44" s="2">
        <v>188932</v>
      </c>
      <c r="M44" s="2">
        <f t="shared" si="7"/>
        <v>209194</v>
      </c>
      <c r="N44" s="7">
        <v>5136</v>
      </c>
      <c r="O44" s="10">
        <f t="shared" si="8"/>
        <v>2.4551373366348939E-2</v>
      </c>
      <c r="P44" s="15">
        <f>Sheet1!B45-Sheet1!C45+Sheet1!D45+Sheet2!J44</f>
        <v>129743.658</v>
      </c>
      <c r="Q44" s="10">
        <f t="shared" si="9"/>
        <v>0.68396143108590324</v>
      </c>
      <c r="R44" s="10">
        <f t="shared" si="10"/>
        <v>0.12407267534424954</v>
      </c>
      <c r="S44" s="10">
        <f t="shared" si="11"/>
        <v>0.7808426702006448</v>
      </c>
      <c r="T44" s="10">
        <f t="shared" si="0"/>
        <v>0.7808426702006448</v>
      </c>
      <c r="U44">
        <f t="shared" si="12"/>
        <v>1935</v>
      </c>
      <c r="V44" s="10">
        <f t="shared" si="1"/>
        <v>0.12407267534424954</v>
      </c>
      <c r="W44" s="10">
        <f t="shared" si="2"/>
        <v>0.12407267534424954</v>
      </c>
      <c r="X44" s="10">
        <f t="shared" si="29"/>
        <v>8.805142521879572E-2</v>
      </c>
      <c r="Y44" s="10">
        <f t="shared" si="3"/>
        <v>8.7515491508648457E-3</v>
      </c>
      <c r="Z44">
        <f t="shared" si="14"/>
        <v>1935</v>
      </c>
      <c r="AA44" s="10">
        <f t="shared" si="30"/>
        <v>1.5908298265723824</v>
      </c>
      <c r="AB44" s="10">
        <f t="shared" si="31"/>
        <v>2.136693139549148</v>
      </c>
      <c r="AC44" s="10">
        <f t="shared" si="32"/>
        <v>1.9382273115639961</v>
      </c>
      <c r="AD44" s="10">
        <f t="shared" si="19"/>
        <v>0.62860274763304502</v>
      </c>
      <c r="AE44" s="10">
        <f t="shared" si="15"/>
        <v>0.4680129221601772</v>
      </c>
      <c r="AF44" s="10">
        <f t="shared" si="16"/>
        <v>0.51593535703151305</v>
      </c>
      <c r="AG44" s="2">
        <v>209250</v>
      </c>
      <c r="AH44" s="15">
        <v>111.29032258064515</v>
      </c>
      <c r="AI44" s="15">
        <f t="shared" si="17"/>
        <v>188021.73913043481</v>
      </c>
      <c r="AJ44" s="17">
        <f t="shared" si="18"/>
        <v>2.5908298265723824</v>
      </c>
      <c r="AK44" s="12">
        <f t="shared" si="20"/>
        <v>0.31437438458722239</v>
      </c>
      <c r="AL44" s="3"/>
      <c r="AM44" s="3"/>
    </row>
    <row r="45" spans="1:39" x14ac:dyDescent="0.3">
      <c r="A45">
        <f t="shared" si="4"/>
        <v>1936</v>
      </c>
      <c r="B45" s="2">
        <v>283824</v>
      </c>
      <c r="C45" s="6">
        <v>14930</v>
      </c>
      <c r="D45" s="2">
        <f t="shared" si="5"/>
        <v>268894</v>
      </c>
      <c r="E45" s="2">
        <v>208332</v>
      </c>
      <c r="F45" s="2">
        <v>11799</v>
      </c>
      <c r="G45" s="2">
        <f t="shared" si="6"/>
        <v>196533</v>
      </c>
      <c r="H45">
        <v>245</v>
      </c>
      <c r="I45" s="12">
        <v>106757.568</v>
      </c>
      <c r="J45" s="12">
        <v>106757.568</v>
      </c>
      <c r="K45" s="2">
        <v>365745</v>
      </c>
      <c r="L45" s="2">
        <v>212936</v>
      </c>
      <c r="M45" s="2">
        <f t="shared" si="7"/>
        <v>152809</v>
      </c>
      <c r="N45" s="7">
        <v>4199</v>
      </c>
      <c r="O45" s="10">
        <f t="shared" si="8"/>
        <v>2.7478747979503827E-2</v>
      </c>
      <c r="P45" s="15">
        <f>Sheet1!B46-Sheet1!C46+Sheet1!D46+Sheet2!J45</f>
        <v>166970.568</v>
      </c>
      <c r="Q45" s="10">
        <f t="shared" si="9"/>
        <v>0.63937955819854431</v>
      </c>
      <c r="R45" s="10">
        <f t="shared" si="10"/>
        <v>0.21519736543990597</v>
      </c>
      <c r="S45" s="10">
        <f t="shared" si="11"/>
        <v>0.81470108539701347</v>
      </c>
      <c r="T45" s="10">
        <f t="shared" si="0"/>
        <v>0.81470108539701347</v>
      </c>
      <c r="U45">
        <f t="shared" si="12"/>
        <v>1936</v>
      </c>
      <c r="V45" s="10">
        <f t="shared" si="1"/>
        <v>0.21519736543990597</v>
      </c>
      <c r="W45" s="10">
        <f t="shared" si="2"/>
        <v>0.21519736543990597</v>
      </c>
      <c r="X45" s="10">
        <f t="shared" si="29"/>
        <v>0.14749392240194092</v>
      </c>
      <c r="Y45" s="10">
        <f t="shared" si="3"/>
        <v>7.3362959132544425E-2</v>
      </c>
      <c r="Z45">
        <f t="shared" si="14"/>
        <v>1936</v>
      </c>
      <c r="AA45" s="10">
        <f t="shared" si="30"/>
        <v>2.0836957210260358</v>
      </c>
      <c r="AB45" s="10">
        <f t="shared" si="31"/>
        <v>2.4849569989391775</v>
      </c>
      <c r="AC45" s="10">
        <f t="shared" si="32"/>
        <v>2.3444670017558185</v>
      </c>
      <c r="AD45" s="10">
        <f t="shared" si="19"/>
        <v>0.47991652039655214</v>
      </c>
      <c r="AE45" s="10">
        <f t="shared" si="15"/>
        <v>0.40242145052284517</v>
      </c>
      <c r="AF45" s="10">
        <f t="shared" si="16"/>
        <v>0.4265361803988198</v>
      </c>
      <c r="AG45" s="2">
        <v>268894</v>
      </c>
      <c r="AH45" s="15">
        <v>113.44086021505377</v>
      </c>
      <c r="AI45" s="15">
        <f t="shared" si="17"/>
        <v>237034.52132701417</v>
      </c>
      <c r="AJ45" s="17">
        <f t="shared" si="18"/>
        <v>3.0836957210260358</v>
      </c>
      <c r="AK45" s="12">
        <f t="shared" si="20"/>
        <v>0.55425963401479861</v>
      </c>
      <c r="AL45" s="3"/>
      <c r="AM45" s="3"/>
    </row>
    <row r="46" spans="1:39" x14ac:dyDescent="0.3">
      <c r="A46">
        <f t="shared" si="4"/>
        <v>1937</v>
      </c>
      <c r="B46" s="2">
        <v>365697</v>
      </c>
      <c r="C46" s="6">
        <v>15658</v>
      </c>
      <c r="D46" s="2">
        <f t="shared" si="5"/>
        <v>350039</v>
      </c>
      <c r="E46" s="2">
        <v>264016</v>
      </c>
      <c r="F46" s="2">
        <v>12067</v>
      </c>
      <c r="G46" s="2">
        <f t="shared" si="6"/>
        <v>251949</v>
      </c>
      <c r="H46">
        <v>265</v>
      </c>
      <c r="I46" s="12">
        <v>145384.796</v>
      </c>
      <c r="J46" s="12">
        <v>145384.796</v>
      </c>
      <c r="K46" s="2">
        <v>376304</v>
      </c>
      <c r="L46" s="2">
        <v>173363</v>
      </c>
      <c r="M46" s="2">
        <f t="shared" si="7"/>
        <v>202941</v>
      </c>
      <c r="N46" s="7">
        <v>4111</v>
      </c>
      <c r="O46" s="10">
        <f t="shared" si="8"/>
        <v>2.0257119064161506E-2</v>
      </c>
      <c r="P46" s="15">
        <f>Sheet1!B47-Sheet1!C47+Sheet1!D47+Sheet2!J46</f>
        <v>231108.796</v>
      </c>
      <c r="Q46" s="10">
        <f t="shared" si="9"/>
        <v>0.62907513048529751</v>
      </c>
      <c r="R46" s="10">
        <f t="shared" si="10"/>
        <v>0.23946492709503692</v>
      </c>
      <c r="S46" s="10">
        <f t="shared" si="11"/>
        <v>0.82714808678377294</v>
      </c>
      <c r="T46" s="10">
        <f t="shared" si="0"/>
        <v>0.82714808678377294</v>
      </c>
      <c r="U46">
        <f t="shared" si="12"/>
        <v>1937</v>
      </c>
      <c r="V46" s="10">
        <f t="shared" si="1"/>
        <v>0.23946492709503692</v>
      </c>
      <c r="W46" s="10">
        <f t="shared" si="2"/>
        <v>0.23946492709503692</v>
      </c>
      <c r="X46" s="10">
        <f t="shared" si="29"/>
        <v>0.16123315935293669</v>
      </c>
      <c r="Y46" s="10">
        <f t="shared" si="3"/>
        <v>8.829691234014847E-2</v>
      </c>
      <c r="Z46">
        <f t="shared" si="14"/>
        <v>1937</v>
      </c>
      <c r="AA46" s="10">
        <f t="shared" si="30"/>
        <v>2.1648582480134904</v>
      </c>
      <c r="AB46" s="10">
        <f t="shared" si="31"/>
        <v>2.543293763473121</v>
      </c>
      <c r="AC46" s="10">
        <f t="shared" si="32"/>
        <v>2.4114347905734093</v>
      </c>
      <c r="AD46" s="10">
        <f t="shared" si="19"/>
        <v>0.46192400861239596</v>
      </c>
      <c r="AE46" s="10">
        <f t="shared" si="15"/>
        <v>0.39319091422392372</v>
      </c>
      <c r="AF46" s="10">
        <f t="shared" si="16"/>
        <v>0.41469087362806623</v>
      </c>
      <c r="AG46" s="2">
        <v>350039</v>
      </c>
      <c r="AH46" s="15">
        <v>121.50537634408603</v>
      </c>
      <c r="AI46" s="15">
        <f t="shared" si="17"/>
        <v>288085.19469026546</v>
      </c>
      <c r="AJ46" s="17">
        <f t="shared" si="18"/>
        <v>3.1648582480134904</v>
      </c>
      <c r="AK46" s="12">
        <f t="shared" si="20"/>
        <v>0.47092026450447405</v>
      </c>
      <c r="AL46" s="3"/>
      <c r="AM46" s="3"/>
    </row>
    <row r="47" spans="1:39" x14ac:dyDescent="0.3">
      <c r="A47">
        <f t="shared" si="4"/>
        <v>1938</v>
      </c>
      <c r="B47" s="2">
        <v>267967</v>
      </c>
      <c r="C47" s="6">
        <v>8116</v>
      </c>
      <c r="D47" s="2">
        <f t="shared" si="5"/>
        <v>259851</v>
      </c>
      <c r="E47" s="2">
        <v>207489</v>
      </c>
      <c r="F47" s="2">
        <v>11655</v>
      </c>
      <c r="G47" s="2">
        <f t="shared" si="6"/>
        <v>195834</v>
      </c>
      <c r="H47">
        <v>315</v>
      </c>
      <c r="I47" s="12">
        <v>101499.398</v>
      </c>
      <c r="J47" s="12">
        <v>101499.398</v>
      </c>
      <c r="K47" s="2">
        <v>374465</v>
      </c>
      <c r="L47" s="2">
        <v>165265</v>
      </c>
      <c r="M47" s="2">
        <f t="shared" si="7"/>
        <v>209200</v>
      </c>
      <c r="N47" s="7">
        <v>4604</v>
      </c>
      <c r="O47" s="10">
        <f t="shared" si="8"/>
        <v>2.2007648183556404E-2</v>
      </c>
      <c r="P47" s="15">
        <f>Sheet1!B48-Sheet1!C48+Sheet1!D48+Sheet2!J47</f>
        <v>153494.39799999999</v>
      </c>
      <c r="Q47" s="10">
        <f t="shared" si="9"/>
        <v>0.66125799587812972</v>
      </c>
      <c r="R47" s="10">
        <f t="shared" si="10"/>
        <v>0.13226223232545173</v>
      </c>
      <c r="S47" s="10">
        <f t="shared" si="11"/>
        <v>0.76204819072268348</v>
      </c>
      <c r="T47" s="10">
        <f t="shared" si="0"/>
        <v>0.76204819072268348</v>
      </c>
      <c r="U47">
        <f t="shared" si="12"/>
        <v>1938</v>
      </c>
      <c r="V47" s="10">
        <f t="shared" si="1"/>
        <v>0.13226223232545173</v>
      </c>
      <c r="W47" s="10">
        <f t="shared" si="2"/>
        <v>0.13226223232545173</v>
      </c>
      <c r="X47" s="10">
        <f t="shared" si="29"/>
        <v>0.1183226721624937</v>
      </c>
      <c r="Y47" s="10">
        <f t="shared" si="3"/>
        <v>4.1655078437493054E-2</v>
      </c>
      <c r="Z47">
        <f t="shared" si="14"/>
        <v>1938</v>
      </c>
      <c r="AA47" s="10">
        <f t="shared" si="30"/>
        <v>1.8790798449700923</v>
      </c>
      <c r="AB47" s="10">
        <f t="shared" si="31"/>
        <v>2.3403796131912022</v>
      </c>
      <c r="AC47" s="10">
        <f t="shared" si="32"/>
        <v>2.1766084948333182</v>
      </c>
      <c r="AD47" s="10">
        <f t="shared" si="19"/>
        <v>0.53217536374347951</v>
      </c>
      <c r="AE47" s="10">
        <f t="shared" si="15"/>
        <v>0.42728111045047923</v>
      </c>
      <c r="AF47" s="10">
        <f t="shared" si="16"/>
        <v>0.45943034880812533</v>
      </c>
      <c r="AG47" s="2">
        <v>259851</v>
      </c>
      <c r="AH47" s="15">
        <v>116.66666666666666</v>
      </c>
      <c r="AI47" s="15">
        <f t="shared" si="17"/>
        <v>222729.42857142858</v>
      </c>
      <c r="AJ47" s="17">
        <f t="shared" si="18"/>
        <v>2.8790798449700921</v>
      </c>
      <c r="AK47" s="12">
        <f t="shared" si="20"/>
        <v>0.49704968617793777</v>
      </c>
      <c r="AL47" s="3"/>
      <c r="AM47" s="3"/>
    </row>
    <row r="48" spans="1:39" x14ac:dyDescent="0.3">
      <c r="A48">
        <f t="shared" si="4"/>
        <v>1939</v>
      </c>
      <c r="B48" s="2">
        <v>313490</v>
      </c>
      <c r="C48" s="6">
        <v>8530</v>
      </c>
      <c r="D48" s="2">
        <f t="shared" si="5"/>
        <v>304960</v>
      </c>
      <c r="E48" s="2">
        <v>230510</v>
      </c>
      <c r="F48" s="2">
        <v>13893</v>
      </c>
      <c r="G48" s="2">
        <f t="shared" si="6"/>
        <v>216617</v>
      </c>
      <c r="H48">
        <v>235</v>
      </c>
      <c r="I48" s="12">
        <v>120130.66099999999</v>
      </c>
      <c r="J48" s="12">
        <v>120130.66099999999</v>
      </c>
      <c r="K48" s="2">
        <v>392223</v>
      </c>
      <c r="L48" s="2">
        <v>163750</v>
      </c>
      <c r="M48" s="2">
        <f t="shared" si="7"/>
        <v>228473</v>
      </c>
      <c r="N48" s="7">
        <v>5859</v>
      </c>
      <c r="O48" s="10">
        <f t="shared" si="8"/>
        <v>2.5644168019853548E-2</v>
      </c>
      <c r="P48" s="15">
        <f>Sheet1!B49-Sheet1!C49+Sheet1!D49+Sheet2!J48</f>
        <v>194300.66099999999</v>
      </c>
      <c r="Q48" s="10">
        <f t="shared" si="9"/>
        <v>0.61827201401028686</v>
      </c>
      <c r="R48" s="10">
        <f t="shared" si="10"/>
        <v>0.2441966591248981</v>
      </c>
      <c r="S48" s="10">
        <f t="shared" si="11"/>
        <v>0.81803292016998053</v>
      </c>
      <c r="T48" s="10">
        <f t="shared" si="0"/>
        <v>0.81803292016998053</v>
      </c>
      <c r="U48">
        <f t="shared" si="12"/>
        <v>1939</v>
      </c>
      <c r="V48" s="10">
        <f t="shared" si="1"/>
        <v>0.2441966591248981</v>
      </c>
      <c r="W48" s="10">
        <f t="shared" si="2"/>
        <v>0.2441966591248981</v>
      </c>
      <c r="X48" s="10">
        <f t="shared" si="29"/>
        <v>0.17563731465295085</v>
      </c>
      <c r="Y48" s="10">
        <f t="shared" si="3"/>
        <v>0.10395360288364219</v>
      </c>
      <c r="Z48">
        <f t="shared" si="14"/>
        <v>1939</v>
      </c>
      <c r="AA48" s="10">
        <f t="shared" si="30"/>
        <v>2.2426050750807236</v>
      </c>
      <c r="AB48" s="10">
        <f t="shared" si="31"/>
        <v>2.6000506494856097</v>
      </c>
      <c r="AC48" s="10">
        <f t="shared" si="32"/>
        <v>2.4760361214471214</v>
      </c>
      <c r="AD48" s="10">
        <f t="shared" si="19"/>
        <v>0.44590998705556956</v>
      </c>
      <c r="AE48" s="10">
        <f t="shared" si="15"/>
        <v>0.38460789223388342</v>
      </c>
      <c r="AF48" s="10">
        <f t="shared" si="16"/>
        <v>0.4038713293954489</v>
      </c>
      <c r="AG48" s="2">
        <v>304960</v>
      </c>
      <c r="AH48" s="15">
        <v>116.39784946236558</v>
      </c>
      <c r="AI48" s="15">
        <f t="shared" si="17"/>
        <v>261997.96766743652</v>
      </c>
      <c r="AJ48" s="17">
        <f t="shared" si="18"/>
        <v>3.2426050750807236</v>
      </c>
      <c r="AK48" s="12">
        <f t="shared" si="20"/>
        <v>0.48904267539952451</v>
      </c>
      <c r="AL48" s="3"/>
      <c r="AM48" s="3"/>
    </row>
    <row r="49" spans="17:37" x14ac:dyDescent="0.3">
      <c r="Q49" s="10">
        <f>AVERAGE(Q3:Q48)</f>
        <v>0.65817089554507291</v>
      </c>
      <c r="R49" s="10">
        <f>AVERAGE(R3:R48)</f>
        <v>6.2884281675111647E-2</v>
      </c>
      <c r="S49" s="10">
        <f t="shared" si="11"/>
        <v>0.70233684343867964</v>
      </c>
      <c r="T49" s="10"/>
      <c r="U49" s="10"/>
      <c r="V49" s="10">
        <f t="shared" si="1"/>
        <v>6.2884281675111647E-2</v>
      </c>
      <c r="X49" s="10">
        <f t="shared" ref="X49:X50" si="33">1-Q49/(0.76)</f>
        <v>0.13398566375648302</v>
      </c>
      <c r="AA49" s="10"/>
      <c r="AB49" s="10"/>
      <c r="AC49" s="10">
        <f>AVERAGE(AC3:AC48)</f>
        <v>17.224782246572683</v>
      </c>
      <c r="AD49" s="10">
        <f>AVERAGE(AD3:AD31)</f>
        <v>0.71747988134096696</v>
      </c>
      <c r="AE49" s="10" t="e">
        <f t="shared" si="15"/>
        <v>#DIV/0!</v>
      </c>
      <c r="AF49" s="10">
        <f>AVERAGE(AF3:AF31)</f>
        <v>0.63317940021989749</v>
      </c>
      <c r="AH49" s="15"/>
      <c r="AI49" s="15">
        <f>SUM(AI3:AI34)</f>
        <v>2637853.9576448104</v>
      </c>
      <c r="AJ49" s="17">
        <f t="shared" si="18"/>
        <v>1</v>
      </c>
      <c r="AK49" s="3"/>
    </row>
    <row r="50" spans="17:37" x14ac:dyDescent="0.3">
      <c r="Q50" s="10"/>
      <c r="R50" s="10"/>
      <c r="S50" s="10">
        <f t="shared" si="11"/>
        <v>0</v>
      </c>
      <c r="V50" s="10">
        <f t="shared" si="1"/>
        <v>0</v>
      </c>
      <c r="X50" s="10">
        <f t="shared" si="33"/>
        <v>1</v>
      </c>
      <c r="AA50" s="10"/>
      <c r="AB50" s="10"/>
      <c r="AC50" s="10"/>
      <c r="AD50" s="10">
        <f>AVERAGE(AD3:AD38)</f>
        <v>0.70781496694859991</v>
      </c>
      <c r="AE50" s="10"/>
      <c r="AF50" s="10">
        <f>AVERAGE(AF3:AF38)</f>
        <v>0.61413482107527018</v>
      </c>
      <c r="AH50" s="15"/>
      <c r="AJ50" s="17">
        <f t="shared" si="18"/>
        <v>1</v>
      </c>
    </row>
    <row r="51" spans="17:37" x14ac:dyDescent="0.3">
      <c r="Q51" s="10"/>
      <c r="R51" s="10"/>
      <c r="AA51" s="10"/>
      <c r="AB51" s="10"/>
      <c r="AC51" s="10"/>
      <c r="AD51" s="10">
        <f>AVERAGE(AD3:AD48)</f>
        <v>0.66580152945622151</v>
      </c>
      <c r="AE51" s="10"/>
      <c r="AF51" s="10">
        <f>AVERAGE(AF3:AF48)</f>
        <v>0.57715105397301281</v>
      </c>
      <c r="AH51" s="15"/>
    </row>
    <row r="52" spans="17:37" x14ac:dyDescent="0.3">
      <c r="AA52" s="10"/>
      <c r="AF52" s="10"/>
      <c r="AH52" s="15"/>
    </row>
    <row r="53" spans="17:37" x14ac:dyDescent="0.3">
      <c r="Z53">
        <v>1922</v>
      </c>
      <c r="AA53">
        <v>45.828000000000003</v>
      </c>
      <c r="AB53">
        <v>55.838000000000001</v>
      </c>
      <c r="AC53">
        <v>52.133000000000003</v>
      </c>
      <c r="AD53">
        <v>0.72199999999999998</v>
      </c>
      <c r="AE53">
        <v>0.61199999999999999</v>
      </c>
      <c r="AF53">
        <v>0.65200000000000002</v>
      </c>
    </row>
    <row r="54" spans="17:37" x14ac:dyDescent="0.3">
      <c r="AA54">
        <v>1.58</v>
      </c>
      <c r="AB54">
        <v>1.925</v>
      </c>
      <c r="AC54">
        <v>1.798</v>
      </c>
    </row>
    <row r="55" spans="17:37" x14ac:dyDescent="0.3">
      <c r="Z55">
        <v>1929</v>
      </c>
      <c r="AA55">
        <v>57.677</v>
      </c>
      <c r="AB55">
        <v>71.286000000000001</v>
      </c>
      <c r="AC55">
        <v>66.278999999999996</v>
      </c>
      <c r="AD55">
        <v>0.69899999999999995</v>
      </c>
      <c r="AE55">
        <v>0.61199999999999999</v>
      </c>
      <c r="AF55">
        <v>0.622</v>
      </c>
    </row>
    <row r="56" spans="17:37" x14ac:dyDescent="0.3">
      <c r="AA56">
        <v>1.6020000000000001</v>
      </c>
      <c r="AB56">
        <v>1.98</v>
      </c>
      <c r="AC56">
        <v>1.841</v>
      </c>
    </row>
    <row r="57" spans="17:37" x14ac:dyDescent="0.3">
      <c r="Z57">
        <v>1939</v>
      </c>
      <c r="AA57">
        <v>75.899000000000001</v>
      </c>
      <c r="AB57">
        <v>93.581999999999994</v>
      </c>
      <c r="AC57">
        <v>87.105000000000004</v>
      </c>
      <c r="AD57">
        <v>0.67900000000000005</v>
      </c>
      <c r="AE57">
        <v>0.55200000000000005</v>
      </c>
      <c r="AF57">
        <v>0.60099999999999998</v>
      </c>
    </row>
    <row r="58" spans="17:37" x14ac:dyDescent="0.3">
      <c r="AA58">
        <v>1.65</v>
      </c>
      <c r="AB58">
        <v>2.0339999999999998</v>
      </c>
      <c r="AC58">
        <v>1.8939999999999999</v>
      </c>
    </row>
  </sheetData>
  <pageMargins left="0.7" right="0.7" top="0.75" bottom="0.75" header="0.3" footer="0.3"/>
  <pageSetup scale="54" fitToWidth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2"/>
  <sheetViews>
    <sheetView workbookViewId="0">
      <selection activeCell="I15" sqref="I15"/>
    </sheetView>
  </sheetViews>
  <sheetFormatPr defaultRowHeight="14.4" x14ac:dyDescent="0.3"/>
  <cols>
    <col min="1" max="1" width="12.88671875" customWidth="1"/>
    <col min="2" max="2" width="13.77734375" customWidth="1"/>
    <col min="3" max="3" width="10.44140625" customWidth="1"/>
    <col min="4" max="4" width="12" bestFit="1" customWidth="1"/>
    <col min="5" max="5" width="11" bestFit="1" customWidth="1"/>
    <col min="6" max="6" width="17.6640625" customWidth="1"/>
    <col min="7" max="7" width="16.44140625" customWidth="1"/>
  </cols>
  <sheetData>
    <row r="1" spans="1:10" x14ac:dyDescent="0.3">
      <c r="A1" s="18" t="s">
        <v>30</v>
      </c>
      <c r="B1" s="18" t="s">
        <v>31</v>
      </c>
      <c r="C1" s="19" t="s">
        <v>32</v>
      </c>
      <c r="D1" s="11" t="s">
        <v>33</v>
      </c>
      <c r="E1" s="11" t="s">
        <v>31</v>
      </c>
      <c r="F1" t="s">
        <v>34</v>
      </c>
    </row>
    <row r="2" spans="1:10" x14ac:dyDescent="0.3">
      <c r="A2" s="20"/>
      <c r="B2" s="20"/>
      <c r="C2" s="18"/>
    </row>
    <row r="3" spans="1:10" x14ac:dyDescent="0.3">
      <c r="A3" s="18">
        <v>40</v>
      </c>
      <c r="B3" s="18">
        <f>1/A3</f>
        <v>2.5000000000000001E-2</v>
      </c>
      <c r="C3" s="10">
        <f t="shared" ref="C3:C4" si="0">POWER((1-B3),-1/B3)</f>
        <v>2.7530580702226715</v>
      </c>
      <c r="E3">
        <v>0.2</v>
      </c>
      <c r="F3">
        <f>1/E3</f>
        <v>5</v>
      </c>
      <c r="G3">
        <f>POWER((1-E3),-1/E3)</f>
        <v>3.0517578124999982</v>
      </c>
    </row>
    <row r="4" spans="1:10" x14ac:dyDescent="0.3">
      <c r="A4" s="20">
        <v>30</v>
      </c>
      <c r="B4" s="18">
        <f t="shared" ref="B4:B34" si="1">1/A4</f>
        <v>3.3333333333333333E-2</v>
      </c>
      <c r="C4" s="10">
        <f t="shared" si="0"/>
        <v>2.7650163558422109</v>
      </c>
      <c r="D4">
        <f t="shared" ref="D4:D18" si="2">1/C4</f>
        <v>0.36166151346161013</v>
      </c>
      <c r="E4">
        <f>E3-0.001</f>
        <v>0.19900000000000001</v>
      </c>
      <c r="F4">
        <f t="shared" ref="F4:F34" si="3">1/E4</f>
        <v>5.0251256281407031</v>
      </c>
      <c r="G4">
        <f>POWER((1-E4),-1/E4)</f>
        <v>3.0497111891052002</v>
      </c>
    </row>
    <row r="5" spans="1:10" x14ac:dyDescent="0.3">
      <c r="A5" s="20">
        <v>20</v>
      </c>
      <c r="B5" s="18">
        <f t="shared" si="1"/>
        <v>0.05</v>
      </c>
      <c r="C5" s="10">
        <f>POWER((1-B5),-1/B5)</f>
        <v>2.7895098175162585</v>
      </c>
      <c r="D5">
        <f t="shared" si="2"/>
        <v>0.35848592240854216</v>
      </c>
      <c r="E5">
        <f t="shared" ref="E5:E12" si="4">E4-0.001</f>
        <v>0.19800000000000001</v>
      </c>
      <c r="F5">
        <f t="shared" si="3"/>
        <v>5.0505050505050502</v>
      </c>
      <c r="G5">
        <f t="shared" ref="G5:G34" si="5">POWER((1-E5),-1/E5)</f>
        <v>3.0476692764834907</v>
      </c>
    </row>
    <row r="6" spans="1:10" x14ac:dyDescent="0.3">
      <c r="A6" s="18">
        <v>10</v>
      </c>
      <c r="B6" s="18">
        <f t="shared" si="1"/>
        <v>0.1</v>
      </c>
      <c r="C6" s="10">
        <f t="shared" ref="C6:C15" si="6">POWER((1-B6),-1/B6)</f>
        <v>2.8679719907924399</v>
      </c>
      <c r="D6">
        <f t="shared" si="2"/>
        <v>0.34867844010000015</v>
      </c>
      <c r="E6">
        <f t="shared" si="4"/>
        <v>0.19700000000000001</v>
      </c>
      <c r="F6">
        <f t="shared" si="3"/>
        <v>5.0761421319796955</v>
      </c>
      <c r="G6">
        <f t="shared" si="5"/>
        <v>3.0456320577586031</v>
      </c>
    </row>
    <row r="7" spans="1:10" x14ac:dyDescent="0.3">
      <c r="A7" s="20">
        <v>5</v>
      </c>
      <c r="B7" s="18">
        <f t="shared" si="1"/>
        <v>0.2</v>
      </c>
      <c r="C7" s="10">
        <f t="shared" si="6"/>
        <v>3.0517578124999982</v>
      </c>
      <c r="D7">
        <f t="shared" si="2"/>
        <v>0.32768000000000019</v>
      </c>
      <c r="E7">
        <f t="shared" si="4"/>
        <v>0.19600000000000001</v>
      </c>
      <c r="F7">
        <f t="shared" si="3"/>
        <v>5.1020408163265305</v>
      </c>
      <c r="G7">
        <f t="shared" si="5"/>
        <v>3.0435995161360481</v>
      </c>
    </row>
    <row r="8" spans="1:10" x14ac:dyDescent="0.3">
      <c r="A8" s="20">
        <v>3</v>
      </c>
      <c r="B8" s="18">
        <f t="shared" si="1"/>
        <v>0.33333333333333331</v>
      </c>
      <c r="C8" s="10">
        <f t="shared" si="6"/>
        <v>3.3749999999999991</v>
      </c>
      <c r="D8">
        <f t="shared" si="2"/>
        <v>0.29629629629629639</v>
      </c>
      <c r="E8">
        <f t="shared" si="4"/>
        <v>0.19500000000000001</v>
      </c>
      <c r="F8">
        <f t="shared" si="3"/>
        <v>5.1282051282051277</v>
      </c>
      <c r="G8">
        <f t="shared" si="5"/>
        <v>3.0415716349026489</v>
      </c>
    </row>
    <row r="9" spans="1:10" x14ac:dyDescent="0.3">
      <c r="A9" s="20">
        <v>2.5</v>
      </c>
      <c r="B9" s="18">
        <f t="shared" si="1"/>
        <v>0.4</v>
      </c>
      <c r="C9" s="10">
        <f t="shared" si="6"/>
        <v>3.586095690932793</v>
      </c>
      <c r="D9">
        <f t="shared" si="2"/>
        <v>0.27885480092693404</v>
      </c>
      <c r="E9">
        <f t="shared" si="4"/>
        <v>0.19400000000000001</v>
      </c>
      <c r="F9">
        <f t="shared" si="3"/>
        <v>5.1546391752577314</v>
      </c>
      <c r="G9">
        <f t="shared" si="5"/>
        <v>3.039548397426012</v>
      </c>
    </row>
    <row r="10" spans="1:10" x14ac:dyDescent="0.3">
      <c r="A10" s="20">
        <v>40</v>
      </c>
      <c r="B10" s="18">
        <f t="shared" si="1"/>
        <v>2.5000000000000001E-2</v>
      </c>
      <c r="C10" s="10">
        <f t="shared" si="6"/>
        <v>2.7530580702226715</v>
      </c>
      <c r="D10">
        <f t="shared" si="2"/>
        <v>0.36323243988788023</v>
      </c>
      <c r="E10">
        <f t="shared" si="4"/>
        <v>0.193</v>
      </c>
      <c r="F10">
        <f t="shared" si="3"/>
        <v>5.1813471502590671</v>
      </c>
      <c r="G10">
        <f t="shared" si="5"/>
        <v>3.0375297871540679</v>
      </c>
    </row>
    <row r="11" spans="1:10" x14ac:dyDescent="0.3">
      <c r="A11" s="20">
        <v>30</v>
      </c>
      <c r="B11" s="18">
        <f t="shared" si="1"/>
        <v>3.3333333333333333E-2</v>
      </c>
      <c r="C11" s="10">
        <f t="shared" si="6"/>
        <v>2.7650163558422109</v>
      </c>
      <c r="D11">
        <f t="shared" si="2"/>
        <v>0.36166151346161013</v>
      </c>
      <c r="E11">
        <f t="shared" si="4"/>
        <v>0.192</v>
      </c>
      <c r="F11">
        <f t="shared" si="3"/>
        <v>5.208333333333333</v>
      </c>
      <c r="G11">
        <f t="shared" si="5"/>
        <v>3.0355157876145507</v>
      </c>
    </row>
    <row r="12" spans="1:10" x14ac:dyDescent="0.3">
      <c r="A12" s="20">
        <v>20</v>
      </c>
      <c r="B12" s="18">
        <f t="shared" si="1"/>
        <v>0.05</v>
      </c>
      <c r="C12" s="10">
        <f t="shared" si="6"/>
        <v>2.7895098175162585</v>
      </c>
      <c r="D12">
        <f t="shared" si="2"/>
        <v>0.35848592240854216</v>
      </c>
      <c r="E12">
        <f t="shared" si="4"/>
        <v>0.191</v>
      </c>
      <c r="F12">
        <f t="shared" si="3"/>
        <v>5.2356020942408374</v>
      </c>
      <c r="G12">
        <f t="shared" si="5"/>
        <v>3.0335063824145476</v>
      </c>
      <c r="J12">
        <v>0</v>
      </c>
    </row>
    <row r="13" spans="1:10" x14ac:dyDescent="0.3">
      <c r="A13" s="20">
        <v>15</v>
      </c>
      <c r="B13" s="18">
        <f t="shared" si="1"/>
        <v>6.6666666666666666E-2</v>
      </c>
      <c r="C13" s="10">
        <f t="shared" si="6"/>
        <v>2.8148052388937868</v>
      </c>
      <c r="D13">
        <f t="shared" si="2"/>
        <v>0.35526436649414445</v>
      </c>
      <c r="E13" s="21">
        <v>1.0000000000000001E-15</v>
      </c>
      <c r="F13" s="21">
        <f>1/E13</f>
        <v>999999999999999.88</v>
      </c>
      <c r="G13">
        <f t="shared" si="5"/>
        <v>2.7161100340870377</v>
      </c>
    </row>
    <row r="14" spans="1:10" x14ac:dyDescent="0.3">
      <c r="A14" s="20">
        <v>10</v>
      </c>
      <c r="B14" s="18">
        <f t="shared" si="1"/>
        <v>0.1</v>
      </c>
      <c r="C14" s="10">
        <f t="shared" si="6"/>
        <v>2.8679719907924399</v>
      </c>
      <c r="D14">
        <f t="shared" si="2"/>
        <v>0.34867844010000015</v>
      </c>
      <c r="E14">
        <f>E13+0.001</f>
        <v>1.0000000000010001E-3</v>
      </c>
      <c r="F14">
        <f t="shared" si="3"/>
        <v>999.9999999989999</v>
      </c>
      <c r="G14">
        <f t="shared" si="5"/>
        <v>2.719642216442852</v>
      </c>
    </row>
    <row r="15" spans="1:10" x14ac:dyDescent="0.3">
      <c r="A15" s="20">
        <v>5</v>
      </c>
      <c r="B15" s="18">
        <f t="shared" si="1"/>
        <v>0.2</v>
      </c>
      <c r="C15" s="10">
        <f t="shared" si="6"/>
        <v>3.0517578124999982</v>
      </c>
      <c r="D15">
        <f t="shared" si="2"/>
        <v>0.32768000000000019</v>
      </c>
      <c r="E15">
        <f t="shared" ref="E15:E40" si="7">E14+0.001</f>
        <v>2.0000000000010001E-3</v>
      </c>
      <c r="F15">
        <f t="shared" si="3"/>
        <v>499.99999999974995</v>
      </c>
      <c r="G15">
        <f t="shared" si="5"/>
        <v>2.7210051033366911</v>
      </c>
    </row>
    <row r="16" spans="1:10" x14ac:dyDescent="0.3">
      <c r="A16" s="20">
        <v>4</v>
      </c>
      <c r="B16" s="18">
        <f t="shared" si="1"/>
        <v>0.25</v>
      </c>
      <c r="C16" s="10">
        <f t="shared" ref="C16:C34" si="8">POWER((20/19)*(1-B16),-1/B16)</f>
        <v>2.5742419753086416</v>
      </c>
      <c r="D16">
        <f t="shared" si="2"/>
        <v>0.38846386998258153</v>
      </c>
      <c r="E16">
        <f t="shared" si="7"/>
        <v>3.0000000000010001E-3</v>
      </c>
      <c r="F16">
        <f t="shared" si="3"/>
        <v>333.33333333322219</v>
      </c>
      <c r="G16">
        <f t="shared" si="5"/>
        <v>2.7223704963177973</v>
      </c>
    </row>
    <row r="17" spans="1:7" x14ac:dyDescent="0.3">
      <c r="A17" s="20">
        <v>3</v>
      </c>
      <c r="B17" s="18">
        <f t="shared" si="1"/>
        <v>0.33333333333333331</v>
      </c>
      <c r="C17" s="10">
        <f t="shared" si="8"/>
        <v>2.8936406249999993</v>
      </c>
      <c r="D17">
        <f t="shared" si="2"/>
        <v>0.34558541629543243</v>
      </c>
      <c r="E17">
        <f t="shared" si="7"/>
        <v>4.0000000000010002E-3</v>
      </c>
      <c r="F17">
        <f t="shared" si="3"/>
        <v>249.9999999999375</v>
      </c>
      <c r="G17">
        <f t="shared" si="5"/>
        <v>2.7237384025913913</v>
      </c>
    </row>
    <row r="18" spans="1:7" x14ac:dyDescent="0.3">
      <c r="A18" s="20">
        <v>2.5</v>
      </c>
      <c r="B18" s="18">
        <f t="shared" si="1"/>
        <v>0.4</v>
      </c>
      <c r="C18" s="10">
        <f t="shared" si="8"/>
        <v>3.1545025823295614</v>
      </c>
      <c r="D18">
        <f t="shared" si="2"/>
        <v>0.31700719016736778</v>
      </c>
      <c r="E18">
        <f t="shared" si="7"/>
        <v>5.0000000000010002E-3</v>
      </c>
      <c r="F18">
        <f t="shared" si="3"/>
        <v>199.99999999995998</v>
      </c>
      <c r="G18">
        <f t="shared" si="5"/>
        <v>2.7251088293908197</v>
      </c>
    </row>
    <row r="19" spans="1:7" x14ac:dyDescent="0.3">
      <c r="A19" s="20">
        <v>1.0000009999999999</v>
      </c>
      <c r="B19" s="18">
        <f t="shared" si="1"/>
        <v>0.99999900000100006</v>
      </c>
      <c r="C19" s="10">
        <f t="shared" si="8"/>
        <v>950014.02616850613</v>
      </c>
      <c r="E19">
        <f t="shared" si="7"/>
        <v>6.0000000000010002E-3</v>
      </c>
      <c r="F19">
        <f t="shared" si="3"/>
        <v>166.66666666663889</v>
      </c>
      <c r="G19">
        <f t="shared" si="5"/>
        <v>2.7264817839776962</v>
      </c>
    </row>
    <row r="20" spans="1:7" x14ac:dyDescent="0.3">
      <c r="A20" s="10">
        <v>1.0049999999999999</v>
      </c>
      <c r="B20" s="18">
        <f t="shared" si="1"/>
        <v>0.99502487562189068</v>
      </c>
      <c r="C20" s="10">
        <f t="shared" si="8"/>
        <v>196.03077686795424</v>
      </c>
      <c r="E20">
        <f t="shared" si="7"/>
        <v>7.0000000000010002E-3</v>
      </c>
      <c r="F20">
        <f t="shared" si="3"/>
        <v>142.85714285712245</v>
      </c>
      <c r="G20">
        <f t="shared" si="5"/>
        <v>2.7278572736420381</v>
      </c>
    </row>
    <row r="21" spans="1:7" x14ac:dyDescent="0.3">
      <c r="A21" s="10">
        <v>1.01</v>
      </c>
      <c r="B21" s="18">
        <f t="shared" si="1"/>
        <v>0.99009900990099009</v>
      </c>
      <c r="C21" s="10">
        <f t="shared" si="8"/>
        <v>100.43045467505635</v>
      </c>
      <c r="E21">
        <f t="shared" si="7"/>
        <v>8.0000000000009994E-3</v>
      </c>
      <c r="F21">
        <f t="shared" si="3"/>
        <v>124.99999999998438</v>
      </c>
      <c r="G21">
        <f t="shared" si="5"/>
        <v>2.7292353057024039</v>
      </c>
    </row>
    <row r="22" spans="1:7" x14ac:dyDescent="0.3">
      <c r="A22" s="10">
        <v>1.0149999999999999</v>
      </c>
      <c r="B22" s="18">
        <f t="shared" si="1"/>
        <v>0.98522167487684742</v>
      </c>
      <c r="C22" s="10">
        <f t="shared" si="8"/>
        <v>68.425796950560226</v>
      </c>
      <c r="E22">
        <f t="shared" si="7"/>
        <v>9.0000000000010003E-3</v>
      </c>
      <c r="F22">
        <f t="shared" si="3"/>
        <v>111.11111111109877</v>
      </c>
      <c r="G22">
        <f t="shared" si="5"/>
        <v>2.7306158875060431</v>
      </c>
    </row>
    <row r="23" spans="1:7" x14ac:dyDescent="0.3">
      <c r="A23" s="10">
        <f>A22+0.005</f>
        <v>1.0199999999999998</v>
      </c>
      <c r="B23" s="18">
        <f t="shared" si="1"/>
        <v>0.98039215686274528</v>
      </c>
      <c r="C23" s="10">
        <f t="shared" si="8"/>
        <v>52.360002307076954</v>
      </c>
      <c r="E23">
        <f t="shared" si="7"/>
        <v>1.0000000000001001E-2</v>
      </c>
      <c r="F23">
        <f t="shared" si="3"/>
        <v>99.999999999989996</v>
      </c>
      <c r="G23">
        <f t="shared" si="5"/>
        <v>2.7319990264290301</v>
      </c>
    </row>
    <row r="24" spans="1:7" x14ac:dyDescent="0.3">
      <c r="A24" s="10">
        <f t="shared" ref="A24:A34" si="9">A23+0.005</f>
        <v>1.0249999999999997</v>
      </c>
      <c r="B24" s="18">
        <f t="shared" si="1"/>
        <v>0.97560975609756129</v>
      </c>
      <c r="C24" s="10">
        <f t="shared" si="8"/>
        <v>42.684495089054096</v>
      </c>
      <c r="E24">
        <f t="shared" si="7"/>
        <v>1.1000000000001002E-2</v>
      </c>
      <c r="F24">
        <f t="shared" si="3"/>
        <v>90.909090909082622</v>
      </c>
      <c r="G24">
        <f t="shared" si="5"/>
        <v>2.7333847298764069</v>
      </c>
    </row>
    <row r="25" spans="1:7" x14ac:dyDescent="0.3">
      <c r="A25" s="10">
        <f t="shared" si="9"/>
        <v>1.0299999999999996</v>
      </c>
      <c r="B25" s="18">
        <f t="shared" si="1"/>
        <v>0.97087378640776734</v>
      </c>
      <c r="C25" s="10">
        <f t="shared" si="8"/>
        <v>36.211187111864234</v>
      </c>
      <c r="E25">
        <f t="shared" si="7"/>
        <v>1.2000000000001003E-2</v>
      </c>
      <c r="F25">
        <f t="shared" si="3"/>
        <v>83.333333333326365</v>
      </c>
      <c r="G25">
        <f t="shared" si="5"/>
        <v>2.7347730052823369</v>
      </c>
    </row>
    <row r="26" spans="1:7" x14ac:dyDescent="0.3">
      <c r="A26" s="10">
        <f t="shared" si="9"/>
        <v>1.0349999999999995</v>
      </c>
      <c r="B26" s="18">
        <f t="shared" si="1"/>
        <v>0.96618357487922757</v>
      </c>
      <c r="C26" s="10">
        <f t="shared" si="8"/>
        <v>31.571612778745209</v>
      </c>
      <c r="E26">
        <f t="shared" si="7"/>
        <v>1.3000000000001004E-2</v>
      </c>
      <c r="F26">
        <f t="shared" si="3"/>
        <v>76.92307692307098</v>
      </c>
      <c r="G26">
        <f t="shared" si="5"/>
        <v>2.7361638601102349</v>
      </c>
    </row>
    <row r="27" spans="1:7" x14ac:dyDescent="0.3">
      <c r="A27" s="10">
        <f t="shared" si="9"/>
        <v>1.0399999999999994</v>
      </c>
      <c r="B27" s="18">
        <f t="shared" si="1"/>
        <v>0.96153846153846212</v>
      </c>
      <c r="C27" s="10">
        <f t="shared" si="8"/>
        <v>28.080499666190686</v>
      </c>
      <c r="E27">
        <f t="shared" si="7"/>
        <v>1.4000000000001005E-2</v>
      </c>
      <c r="F27">
        <f t="shared" si="3"/>
        <v>71.4285714285663</v>
      </c>
      <c r="G27">
        <f t="shared" si="5"/>
        <v>2.7375573018529242</v>
      </c>
    </row>
    <row r="28" spans="1:7" x14ac:dyDescent="0.3">
      <c r="A28" s="10">
        <f t="shared" si="9"/>
        <v>1.0449999999999993</v>
      </c>
      <c r="B28" s="18">
        <f t="shared" si="1"/>
        <v>0.95693779904306286</v>
      </c>
      <c r="C28" s="10">
        <f t="shared" si="8"/>
        <v>25.356576321298185</v>
      </c>
      <c r="E28">
        <f t="shared" si="7"/>
        <v>1.5000000000001006E-2</v>
      </c>
      <c r="F28">
        <f t="shared" si="3"/>
        <v>66.666666666662195</v>
      </c>
      <c r="G28">
        <f t="shared" si="5"/>
        <v>2.7389533380327751</v>
      </c>
    </row>
    <row r="29" spans="1:7" x14ac:dyDescent="0.3">
      <c r="A29" s="10">
        <f t="shared" si="9"/>
        <v>1.0499999999999992</v>
      </c>
      <c r="B29" s="18">
        <f t="shared" si="1"/>
        <v>0.95238095238095311</v>
      </c>
      <c r="C29" s="10">
        <f t="shared" si="8"/>
        <v>23.170747523951285</v>
      </c>
      <c r="E29">
        <f t="shared" si="7"/>
        <v>1.6000000000001006E-2</v>
      </c>
      <c r="F29">
        <f t="shared" si="3"/>
        <v>62.499999999996071</v>
      </c>
      <c r="G29">
        <f t="shared" si="5"/>
        <v>2.7403519762018576</v>
      </c>
    </row>
    <row r="30" spans="1:7" x14ac:dyDescent="0.3">
      <c r="A30" s="10">
        <f t="shared" si="9"/>
        <v>1.054999999999999</v>
      </c>
      <c r="B30" s="18">
        <f t="shared" si="1"/>
        <v>0.94786729857819996</v>
      </c>
      <c r="C30" s="10">
        <f t="shared" si="8"/>
        <v>21.377017416682165</v>
      </c>
      <c r="E30">
        <f t="shared" si="7"/>
        <v>1.7000000000001007E-2</v>
      </c>
      <c r="F30">
        <f t="shared" si="3"/>
        <v>58.823529411761221</v>
      </c>
      <c r="G30">
        <f t="shared" si="5"/>
        <v>2.7417532239420863</v>
      </c>
    </row>
    <row r="31" spans="1:7" x14ac:dyDescent="0.3">
      <c r="A31" s="10">
        <f t="shared" si="9"/>
        <v>1.0599999999999989</v>
      </c>
      <c r="B31" s="18">
        <f t="shared" si="1"/>
        <v>0.94339622641509524</v>
      </c>
      <c r="C31" s="10">
        <f t="shared" si="8"/>
        <v>19.877918853805401</v>
      </c>
      <c r="E31">
        <f t="shared" si="7"/>
        <v>1.8000000000001008E-2</v>
      </c>
      <c r="F31">
        <f t="shared" si="3"/>
        <v>55.555555555552445</v>
      </c>
      <c r="G31">
        <f t="shared" si="5"/>
        <v>2.7431570888653702</v>
      </c>
    </row>
    <row r="32" spans="1:7" x14ac:dyDescent="0.3">
      <c r="A32" s="10">
        <f t="shared" si="9"/>
        <v>1.0649999999999988</v>
      </c>
      <c r="B32" s="18">
        <f t="shared" si="1"/>
        <v>0.93896713615023575</v>
      </c>
      <c r="C32" s="10">
        <f t="shared" si="8"/>
        <v>18.605881348333096</v>
      </c>
      <c r="E32">
        <f t="shared" si="7"/>
        <v>1.9000000000001009E-2</v>
      </c>
      <c r="F32">
        <f t="shared" si="3"/>
        <v>52.631578947365625</v>
      </c>
      <c r="G32">
        <f t="shared" si="5"/>
        <v>2.7445635786137621</v>
      </c>
    </row>
    <row r="33" spans="1:7" x14ac:dyDescent="0.3">
      <c r="A33" s="10">
        <f t="shared" si="9"/>
        <v>1.0699999999999987</v>
      </c>
      <c r="B33" s="18">
        <f t="shared" si="1"/>
        <v>0.93457943925233755</v>
      </c>
      <c r="C33" s="10">
        <f t="shared" si="8"/>
        <v>17.512574546094882</v>
      </c>
      <c r="E33">
        <f t="shared" si="7"/>
        <v>2.000000000000101E-2</v>
      </c>
      <c r="F33">
        <f t="shared" si="3"/>
        <v>49.999999999997478</v>
      </c>
      <c r="G33">
        <f t="shared" si="5"/>
        <v>2.7459727008596095</v>
      </c>
    </row>
    <row r="34" spans="1:7" x14ac:dyDescent="0.3">
      <c r="A34" s="10">
        <f t="shared" si="9"/>
        <v>1.0749999999999986</v>
      </c>
      <c r="B34" s="18">
        <f t="shared" si="1"/>
        <v>0.93023255813953609</v>
      </c>
      <c r="C34" s="10">
        <f t="shared" si="8"/>
        <v>16.562508593278448</v>
      </c>
      <c r="E34">
        <f t="shared" si="7"/>
        <v>2.1000000000001011E-2</v>
      </c>
      <c r="F34">
        <f t="shared" si="3"/>
        <v>47.619047619045325</v>
      </c>
      <c r="G34">
        <f t="shared" si="5"/>
        <v>2.747384463305707</v>
      </c>
    </row>
    <row r="35" spans="1:7" x14ac:dyDescent="0.3">
      <c r="A35" s="7"/>
      <c r="B35" s="10"/>
      <c r="C35" s="10"/>
      <c r="E35">
        <f t="shared" si="7"/>
        <v>2.2000000000001012E-2</v>
      </c>
    </row>
    <row r="36" spans="1:7" x14ac:dyDescent="0.3">
      <c r="A36" s="7"/>
      <c r="B36" s="10"/>
      <c r="C36" s="10"/>
      <c r="E36">
        <f t="shared" si="7"/>
        <v>2.3000000000001013E-2</v>
      </c>
    </row>
    <row r="37" spans="1:7" x14ac:dyDescent="0.3">
      <c r="A37" s="7"/>
      <c r="B37" s="10"/>
      <c r="C37" s="10"/>
      <c r="E37">
        <f t="shared" si="7"/>
        <v>2.4000000000001014E-2</v>
      </c>
    </row>
    <row r="38" spans="1:7" x14ac:dyDescent="0.3">
      <c r="A38" s="7"/>
      <c r="B38" s="10"/>
      <c r="C38" s="10"/>
      <c r="E38">
        <f t="shared" si="7"/>
        <v>2.5000000000001014E-2</v>
      </c>
    </row>
    <row r="39" spans="1:7" x14ac:dyDescent="0.3">
      <c r="A39" s="7"/>
      <c r="B39" s="10"/>
      <c r="C39" s="10"/>
      <c r="E39">
        <f t="shared" si="7"/>
        <v>2.6000000000001015E-2</v>
      </c>
    </row>
    <row r="40" spans="1:7" x14ac:dyDescent="0.3">
      <c r="A40" s="7"/>
      <c r="B40" s="10"/>
      <c r="C40" s="10"/>
      <c r="E40">
        <f t="shared" si="7"/>
        <v>2.7000000000001016E-2</v>
      </c>
    </row>
    <row r="41" spans="1:7" x14ac:dyDescent="0.3">
      <c r="A41" s="7"/>
      <c r="B41" s="10"/>
      <c r="C41" s="10"/>
    </row>
    <row r="42" spans="1:7" x14ac:dyDescent="0.3">
      <c r="A42" s="7"/>
      <c r="B42" s="10"/>
      <c r="C42" s="10"/>
    </row>
    <row r="43" spans="1:7" x14ac:dyDescent="0.3">
      <c r="A43" s="7"/>
      <c r="B43" s="10"/>
      <c r="C43" s="10"/>
    </row>
    <row r="44" spans="1:7" x14ac:dyDescent="0.3">
      <c r="A44" s="7"/>
      <c r="B44" s="10"/>
      <c r="C44" s="10"/>
    </row>
    <row r="45" spans="1:7" x14ac:dyDescent="0.3">
      <c r="A45" s="7"/>
      <c r="B45" s="10"/>
      <c r="C45" s="10"/>
    </row>
    <row r="46" spans="1:7" x14ac:dyDescent="0.3">
      <c r="A46" s="7"/>
      <c r="B46" s="10"/>
      <c r="C46" s="10"/>
    </row>
    <row r="47" spans="1:7" x14ac:dyDescent="0.3">
      <c r="A47" s="7"/>
      <c r="B47" s="10"/>
      <c r="C47" s="10"/>
    </row>
    <row r="48" spans="1:7" x14ac:dyDescent="0.3">
      <c r="A48" s="7"/>
      <c r="B48" s="10"/>
      <c r="C48" s="10"/>
    </row>
    <row r="49" spans="1:3" x14ac:dyDescent="0.3">
      <c r="A49" s="7"/>
      <c r="B49" s="10"/>
      <c r="C49" s="10"/>
    </row>
    <row r="50" spans="1:3" x14ac:dyDescent="0.3">
      <c r="A50" s="7"/>
      <c r="B50" s="10"/>
      <c r="C50" s="10"/>
    </row>
    <row r="51" spans="1:3" x14ac:dyDescent="0.3">
      <c r="A51" s="7"/>
      <c r="B51" s="10"/>
      <c r="C51" s="10"/>
    </row>
    <row r="52" spans="1:3" x14ac:dyDescent="0.3">
      <c r="A52" s="7"/>
      <c r="B52" s="10"/>
      <c r="C52" s="10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53"/>
  <sheetViews>
    <sheetView tabSelected="1" topLeftCell="J1" workbookViewId="0">
      <pane ySplit="4" topLeftCell="A5" activePane="bottomLeft" state="frozen"/>
      <selection pane="bottomLeft" activeCell="P1" sqref="P1:U1048576"/>
    </sheetView>
  </sheetViews>
  <sheetFormatPr defaultRowHeight="14.4" x14ac:dyDescent="0.3"/>
  <cols>
    <col min="2" max="2" width="7.77734375" customWidth="1"/>
    <col min="3" max="3" width="11.109375" customWidth="1"/>
    <col min="4" max="4" width="6.77734375" customWidth="1"/>
    <col min="5" max="5" width="7.109375" customWidth="1"/>
    <col min="6" max="6" width="6.44140625" customWidth="1"/>
    <col min="7" max="7" width="8.88671875" customWidth="1"/>
    <col min="9" max="9" width="8.88671875" customWidth="1"/>
    <col min="10" max="10" width="8" customWidth="1"/>
    <col min="11" max="11" width="6.77734375" customWidth="1"/>
    <col min="12" max="12" width="7.109375" customWidth="1"/>
    <col min="13" max="13" width="8.44140625" customWidth="1"/>
  </cols>
  <sheetData>
    <row r="1" spans="1:29" ht="18" x14ac:dyDescent="0.35">
      <c r="G1" s="22" t="s">
        <v>48</v>
      </c>
    </row>
    <row r="2" spans="1:29" x14ac:dyDescent="0.3">
      <c r="T2" s="35"/>
    </row>
    <row r="3" spans="1:29" ht="72" x14ac:dyDescent="0.3">
      <c r="A3" s="23"/>
      <c r="B3" s="23" t="s">
        <v>49</v>
      </c>
      <c r="C3" s="23" t="s">
        <v>57</v>
      </c>
      <c r="D3" s="23" t="s">
        <v>51</v>
      </c>
      <c r="E3" s="23" t="s">
        <v>50</v>
      </c>
      <c r="F3" s="23" t="s">
        <v>3</v>
      </c>
      <c r="G3" s="23" t="s">
        <v>84</v>
      </c>
      <c r="H3" s="23" t="s">
        <v>56</v>
      </c>
      <c r="I3" s="23" t="s">
        <v>52</v>
      </c>
      <c r="J3" s="23" t="s">
        <v>58</v>
      </c>
      <c r="K3" s="23" t="s">
        <v>53</v>
      </c>
      <c r="L3" s="23" t="s">
        <v>54</v>
      </c>
      <c r="M3" s="23" t="s">
        <v>59</v>
      </c>
      <c r="N3" s="23" t="s">
        <v>60</v>
      </c>
      <c r="O3" s="23" t="s">
        <v>30</v>
      </c>
      <c r="P3" s="23" t="s">
        <v>61</v>
      </c>
      <c r="Q3" s="11"/>
      <c r="R3" s="11" t="s">
        <v>65</v>
      </c>
      <c r="S3" s="11" t="s">
        <v>67</v>
      </c>
      <c r="T3" s="11" t="s">
        <v>99</v>
      </c>
      <c r="U3" s="11" t="s">
        <v>100</v>
      </c>
      <c r="V3" s="11">
        <v>3</v>
      </c>
      <c r="W3" s="11">
        <v>2</v>
      </c>
      <c r="X3" s="11" t="s">
        <v>101</v>
      </c>
      <c r="Y3" s="11">
        <v>3</v>
      </c>
      <c r="Z3" s="11">
        <v>2</v>
      </c>
      <c r="AA3" s="11">
        <v>3</v>
      </c>
      <c r="AB3" s="11">
        <v>2.63</v>
      </c>
      <c r="AC3" s="11">
        <v>2</v>
      </c>
    </row>
    <row r="4" spans="1:29" x14ac:dyDescent="0.3">
      <c r="B4" s="24" t="s">
        <v>55</v>
      </c>
      <c r="C4" s="24" t="s">
        <v>55</v>
      </c>
      <c r="D4" s="24" t="s">
        <v>55</v>
      </c>
      <c r="E4" s="24" t="s">
        <v>55</v>
      </c>
      <c r="F4" s="24" t="s">
        <v>55</v>
      </c>
      <c r="G4" s="24" t="s">
        <v>55</v>
      </c>
      <c r="H4" s="24" t="s">
        <v>55</v>
      </c>
      <c r="I4" s="24"/>
      <c r="J4" s="24" t="s">
        <v>55</v>
      </c>
      <c r="K4" s="24" t="s">
        <v>55</v>
      </c>
      <c r="L4" s="24"/>
      <c r="M4" s="24"/>
    </row>
    <row r="6" spans="1:29" x14ac:dyDescent="0.3">
      <c r="A6">
        <v>1894</v>
      </c>
      <c r="B6" s="2">
        <f>Sheet1!B4</f>
        <v>12541</v>
      </c>
      <c r="C6" s="2">
        <f>Sheet1!F4</f>
        <v>11837</v>
      </c>
      <c r="D6" s="2">
        <f>Sheet1!G4</f>
        <v>465</v>
      </c>
      <c r="E6" s="2">
        <f>Sheet1!O4</f>
        <v>8750</v>
      </c>
      <c r="F6" s="2">
        <f>Sheet1!D4</f>
        <v>547</v>
      </c>
      <c r="G6" s="12">
        <f>B6-C6</f>
        <v>704</v>
      </c>
      <c r="H6" s="2">
        <f>Sheet1!N4</f>
        <v>15475</v>
      </c>
      <c r="I6" s="25">
        <v>5700</v>
      </c>
      <c r="J6">
        <f>Sheet2!J3</f>
        <v>2394</v>
      </c>
      <c r="K6">
        <f>Sheet2!P3</f>
        <v>3098</v>
      </c>
      <c r="L6">
        <f>Sheet1!T4</f>
        <v>6.3828739755391814E-2</v>
      </c>
      <c r="M6">
        <f>Sheet2!Q3</f>
        <v>0.77275661717236932</v>
      </c>
      <c r="N6">
        <f>M6/R6</f>
        <v>2.6016207151948958</v>
      </c>
      <c r="O6">
        <f t="shared" ref="O6:O51" si="0">1/S6</f>
        <v>-14.329614672705231</v>
      </c>
      <c r="P6">
        <f>1/(1+N6)</f>
        <v>0.27765277886732909</v>
      </c>
      <c r="Q6">
        <v>1894</v>
      </c>
      <c r="R6">
        <f>Sheet1!AF4</f>
        <v>0.29702892995087471</v>
      </c>
      <c r="S6">
        <f>1-M6-R6</f>
        <v>-6.9785547123244029E-2</v>
      </c>
    </row>
    <row r="7" spans="1:29" x14ac:dyDescent="0.3">
      <c r="A7">
        <f>A6+1</f>
        <v>1895</v>
      </c>
      <c r="B7" s="2">
        <f>Sheet1!B5</f>
        <v>12730</v>
      </c>
      <c r="C7" s="2">
        <f>Sheet1!F5</f>
        <v>11760</v>
      </c>
      <c r="D7" s="2">
        <f>Sheet1!G5</f>
        <v>438</v>
      </c>
      <c r="E7" s="2">
        <f>Sheet1!O5</f>
        <v>8750</v>
      </c>
      <c r="F7" s="2">
        <f>Sheet1!D5</f>
        <v>661</v>
      </c>
      <c r="G7" s="12">
        <f t="shared" ref="G7:G51" si="1">B7-C7</f>
        <v>970</v>
      </c>
      <c r="H7" s="2">
        <f>Sheet1!N5</f>
        <v>16139</v>
      </c>
      <c r="I7" s="25">
        <v>5800</v>
      </c>
      <c r="J7">
        <f>Sheet2!J4</f>
        <v>2540.4</v>
      </c>
      <c r="K7">
        <f>Sheet2!P4</f>
        <v>3510.4</v>
      </c>
      <c r="L7">
        <f>Sheet1!T5</f>
        <v>5.759544365069573E-2</v>
      </c>
      <c r="M7">
        <f>Sheet2!Q4</f>
        <v>0.7236782133090246</v>
      </c>
      <c r="N7">
        <f>M7/R7</f>
        <v>2.171259014276004</v>
      </c>
      <c r="O7">
        <f t="shared" si="0"/>
        <v>-17.550910643766102</v>
      </c>
      <c r="P7">
        <f>1/(1+N7)</f>
        <v>0.31533217422428023</v>
      </c>
      <c r="Q7">
        <f>Q6+1</f>
        <v>1895</v>
      </c>
      <c r="R7">
        <f>Sheet1!AF5</f>
        <v>0.33329888721283291</v>
      </c>
      <c r="S7">
        <f>1-M7-R7</f>
        <v>-5.6977100521857504E-2</v>
      </c>
    </row>
    <row r="8" spans="1:29" x14ac:dyDescent="0.3">
      <c r="A8">
        <f t="shared" ref="A8:A51" si="2">A7+1</f>
        <v>1896</v>
      </c>
      <c r="B8" s="2">
        <f>Sheet1!B6</f>
        <v>12541</v>
      </c>
      <c r="C8" s="2">
        <f>Sheet1!F6</f>
        <v>11428</v>
      </c>
      <c r="D8" s="2">
        <f>Sheet1!G6</f>
        <v>431</v>
      </c>
      <c r="E8" s="2">
        <f>Sheet1!O6</f>
        <v>8000</v>
      </c>
      <c r="F8" s="2">
        <f>Sheet1!D6</f>
        <v>509</v>
      </c>
      <c r="G8" s="12">
        <f t="shared" si="1"/>
        <v>1113</v>
      </c>
      <c r="H8" s="2">
        <f>Sheet1!N6</f>
        <v>13476</v>
      </c>
      <c r="I8" s="12">
        <v>5900</v>
      </c>
      <c r="J8">
        <f>Sheet2!J5</f>
        <v>2590.1</v>
      </c>
      <c r="K8">
        <f>Sheet2!P5</f>
        <v>3703.1</v>
      </c>
      <c r="L8">
        <f>Sheet1!T6</f>
        <v>6.4126973580156968E-2</v>
      </c>
      <c r="M8">
        <f>Sheet2!Q5</f>
        <v>0.69944100888444816</v>
      </c>
      <c r="N8">
        <f>M8/R8</f>
        <v>2.4995893391174957</v>
      </c>
      <c r="O8">
        <f t="shared" si="0"/>
        <v>48.223860434346086</v>
      </c>
      <c r="P8">
        <f>1/(1+N8)</f>
        <v>0.28574781298544411</v>
      </c>
      <c r="Q8">
        <f t="shared" ref="Q8:Q51" si="3">Q7+1</f>
        <v>1896</v>
      </c>
      <c r="R8">
        <f>Sheet1!AF6</f>
        <v>0.27982236839407892</v>
      </c>
      <c r="S8">
        <f>1-M8-R8</f>
        <v>2.0736622721472919E-2</v>
      </c>
      <c r="T8">
        <f>1-(O8/(O8-1))^(-O8)</f>
        <v>0.63596814959444248</v>
      </c>
      <c r="U8">
        <f>(O8/(O8-1))^(-2.63)</f>
        <v>0.94638036040551854</v>
      </c>
      <c r="V8">
        <f>(O8/(O8-1))^(-3)</f>
        <v>0.93907123749751009</v>
      </c>
      <c r="W8">
        <f>(O8/(O8-1))^(-2)</f>
        <v>0.95895676207894665</v>
      </c>
      <c r="X8">
        <f>-U8+1</f>
        <v>5.3619639594481461E-2</v>
      </c>
      <c r="Y8">
        <f>1-V8</f>
        <v>6.0928762502489908E-2</v>
      </c>
      <c r="Z8">
        <f>1-W8</f>
        <v>4.1043237921053355E-2</v>
      </c>
      <c r="AA8">
        <f>((O8-1)/O8)^(-3) -1</f>
        <v>6.488193873859438E-2</v>
      </c>
      <c r="AB8">
        <f>((O8-1)/O8)^(-2.63) -1</f>
        <v>5.6657599669022618E-2</v>
      </c>
      <c r="AC8">
        <f>((O8-1)/O8)^(-2) -1</f>
        <v>4.2799883732061561E-2</v>
      </c>
    </row>
    <row r="9" spans="1:29" x14ac:dyDescent="0.3">
      <c r="A9">
        <f t="shared" si="2"/>
        <v>1897</v>
      </c>
      <c r="B9" s="2">
        <f>Sheet1!B7</f>
        <v>12396</v>
      </c>
      <c r="C9" s="2">
        <f>Sheet1!F7</f>
        <v>10791</v>
      </c>
      <c r="D9" s="2">
        <f>Sheet1!G7</f>
        <v>333</v>
      </c>
      <c r="E9" s="2">
        <f>Sheet1!O7</f>
        <v>7000</v>
      </c>
      <c r="F9" s="2">
        <f>Sheet1!D7</f>
        <v>439</v>
      </c>
      <c r="G9" s="12">
        <f t="shared" si="1"/>
        <v>1605</v>
      </c>
      <c r="H9" s="2">
        <f>Sheet1!N7</f>
        <v>13831</v>
      </c>
      <c r="I9" s="12">
        <v>5700</v>
      </c>
      <c r="J9">
        <f>Sheet2!J6</f>
        <v>2519.4</v>
      </c>
      <c r="K9">
        <f>Sheet2!P6</f>
        <v>4124.3999999999996</v>
      </c>
      <c r="L9">
        <f>Sheet1!T7</f>
        <v>6.2182825008010367E-2</v>
      </c>
      <c r="M9">
        <f>Sheet2!Q6</f>
        <v>0.61085248763456512</v>
      </c>
      <c r="N9">
        <f>M9/R9</f>
        <v>2.7600147900450072</v>
      </c>
      <c r="O9">
        <f t="shared" si="0"/>
        <v>5.9585759816020136</v>
      </c>
      <c r="P9">
        <f>1/(1+N9)</f>
        <v>0.26595640066299581</v>
      </c>
      <c r="Q9">
        <f t="shared" si="3"/>
        <v>1897</v>
      </c>
      <c r="R9">
        <f>Sheet1!AF7</f>
        <v>0.2213221790831795</v>
      </c>
      <c r="S9">
        <f>1-M9-R9</f>
        <v>0.16782533328225538</v>
      </c>
      <c r="T9">
        <f>1-(O9/(O9-1))^(-O9)</f>
        <v>0.66534911264906738</v>
      </c>
      <c r="U9">
        <f>(O9/(O9-1))^(-2.63)</f>
        <v>0.61682804406229119</v>
      </c>
      <c r="V9">
        <f>(O9/(O9-1))^(-3)</f>
        <v>0.57629316963652288</v>
      </c>
      <c r="W9">
        <f>(O9/(O9-1))^(-2)</f>
        <v>0.69251467592678939</v>
      </c>
      <c r="X9">
        <f t="shared" ref="X9:X51" si="4">-U9+1</f>
        <v>0.38317195593770881</v>
      </c>
      <c r="Y9">
        <f t="shared" ref="Y9:Y51" si="5">1-V9</f>
        <v>0.42370683036347712</v>
      </c>
      <c r="Z9">
        <f t="shared" ref="Z9:Z51" si="6">1-W9</f>
        <v>0.30748532407321061</v>
      </c>
      <c r="AA9">
        <f>((O9-1)/O9)^(-3) -1</f>
        <v>0.73522792336878751</v>
      </c>
      <c r="AB9">
        <f>((O9-1)/O9)^(-2.63) -1</f>
        <v>0.62119736549950644</v>
      </c>
      <c r="AC9">
        <f>((O9-1)/O9)^(-2) -1</f>
        <v>0.44401271880874482</v>
      </c>
    </row>
    <row r="10" spans="1:29" x14ac:dyDescent="0.3">
      <c r="A10">
        <f t="shared" si="2"/>
        <v>1898</v>
      </c>
      <c r="B10" s="2">
        <f>Sheet1!B8</f>
        <v>15679</v>
      </c>
      <c r="C10" s="2">
        <f>Sheet1!F8</f>
        <v>12466</v>
      </c>
      <c r="D10" s="2">
        <f>Sheet1!G8</f>
        <v>290</v>
      </c>
      <c r="E10" s="2">
        <f>Sheet1!O8</f>
        <v>6350</v>
      </c>
      <c r="F10" s="2">
        <f>Sheet1!D8</f>
        <v>898</v>
      </c>
      <c r="G10" s="12">
        <f t="shared" si="1"/>
        <v>3213</v>
      </c>
      <c r="H10" s="2">
        <f>Sheet1!N8</f>
        <v>15596</v>
      </c>
      <c r="I10" s="12">
        <v>9000</v>
      </c>
      <c r="J10">
        <f>Sheet2!J7</f>
        <v>3960</v>
      </c>
      <c r="K10">
        <f>Sheet2!P7</f>
        <v>7173</v>
      </c>
      <c r="L10">
        <f>Sheet1!T8</f>
        <v>7.3637827252170995E-2</v>
      </c>
      <c r="M10">
        <f>Sheet2!Q7</f>
        <v>0.5520702634880803</v>
      </c>
      <c r="N10">
        <f>M10/R10</f>
        <v>3.0814323771470842</v>
      </c>
      <c r="O10">
        <f t="shared" si="0"/>
        <v>3.7206607625586265</v>
      </c>
      <c r="P10">
        <f>1/(1+N10)</f>
        <v>0.24501202215164436</v>
      </c>
      <c r="Q10">
        <f t="shared" si="3"/>
        <v>1898</v>
      </c>
      <c r="R10">
        <f>Sheet1!AF8</f>
        <v>0.17916027221055211</v>
      </c>
      <c r="S10">
        <f>1-M10-R10</f>
        <v>0.26876946430136761</v>
      </c>
      <c r="T10">
        <f>1-(O10/(O10-1))^(-O10)</f>
        <v>0.68797295465295361</v>
      </c>
      <c r="U10">
        <f>(O10/(O10-1))^(-2.63)</f>
        <v>0.43899832060348348</v>
      </c>
      <c r="V10">
        <f>(O10/(O10-1))^(-3)</f>
        <v>0.39098757542235435</v>
      </c>
      <c r="W10">
        <f>(O10/(O10-1))^(-2)</f>
        <v>0.53469809633810894</v>
      </c>
      <c r="X10">
        <f t="shared" si="4"/>
        <v>0.56100167939651646</v>
      </c>
      <c r="Y10">
        <f t="shared" si="5"/>
        <v>0.60901242457764559</v>
      </c>
      <c r="Z10">
        <f t="shared" si="6"/>
        <v>0.46530190366189106</v>
      </c>
      <c r="AA10">
        <f>((O10-1)/O10)^(-3) -1</f>
        <v>1.5576260292153159</v>
      </c>
      <c r="AB10">
        <f>((O10-1)/O10)^(-2.63) -1</f>
        <v>1.2779130421850295</v>
      </c>
      <c r="AC10">
        <f>((O10-1)/O10)^(-2) -1</f>
        <v>0.8702142514598814</v>
      </c>
    </row>
    <row r="11" spans="1:29" x14ac:dyDescent="0.3">
      <c r="A11">
        <f t="shared" si="2"/>
        <v>1899</v>
      </c>
      <c r="B11" s="2">
        <f>Sheet1!B9</f>
        <v>22379</v>
      </c>
      <c r="C11" s="2">
        <f>Sheet1!F9</f>
        <v>17597</v>
      </c>
      <c r="D11" s="2">
        <f>Sheet1!G9</f>
        <v>281</v>
      </c>
      <c r="E11" s="2">
        <f>Sheet1!O9</f>
        <v>5500</v>
      </c>
      <c r="F11" s="2">
        <f>Sheet1!D9</f>
        <v>1330</v>
      </c>
      <c r="G11" s="12">
        <f t="shared" si="1"/>
        <v>4782</v>
      </c>
      <c r="H11" s="2">
        <f>Sheet1!N9</f>
        <v>20398</v>
      </c>
      <c r="I11" s="12">
        <v>12000</v>
      </c>
      <c r="J11">
        <f>Sheet2!J8</f>
        <v>5640</v>
      </c>
      <c r="K11">
        <f>Sheet2!P8</f>
        <v>10422</v>
      </c>
      <c r="L11">
        <f>Sheet1!T9</f>
        <v>9.2070229055724442E-2</v>
      </c>
      <c r="M11">
        <f>Sheet2!Q8</f>
        <v>0.54116292458261372</v>
      </c>
      <c r="N11">
        <f>M11/R11</f>
        <v>3.3943018399161544</v>
      </c>
      <c r="O11">
        <f t="shared" si="0"/>
        <v>3.3399652652099752</v>
      </c>
      <c r="P11">
        <f>1/(1+N11)</f>
        <v>0.22756743538106167</v>
      </c>
      <c r="Q11">
        <f t="shared" si="3"/>
        <v>1899</v>
      </c>
      <c r="R11">
        <f>Sheet1!AF9</f>
        <v>0.15943276411622292</v>
      </c>
      <c r="S11">
        <f>1-M11-R11</f>
        <v>0.29940431130116335</v>
      </c>
      <c r="T11">
        <f>1-(O11/(O11-1))^(-O11)</f>
        <v>0.69530404726927475</v>
      </c>
      <c r="U11">
        <f>(O11/(O11-1))^(-2.63)</f>
        <v>0.39226487463807103</v>
      </c>
      <c r="V11">
        <f>(O11/(O11-1))^(-3)</f>
        <v>0.34387640777322154</v>
      </c>
      <c r="W11">
        <f>(O11/(O11-1))^(-2)</f>
        <v>0.4908343190233973</v>
      </c>
      <c r="X11">
        <f t="shared" si="4"/>
        <v>0.60773512536192897</v>
      </c>
      <c r="Y11">
        <f t="shared" si="5"/>
        <v>0.65612359222677852</v>
      </c>
      <c r="Z11">
        <f t="shared" si="6"/>
        <v>0.50916568097660275</v>
      </c>
      <c r="AA11">
        <f>((O11-1)/O11)^(-3) -1</f>
        <v>1.9080215373759417</v>
      </c>
      <c r="AB11">
        <f>((O11-1)/O11)^(-2.63) -1</f>
        <v>1.549297846060433</v>
      </c>
      <c r="AC11">
        <f>((O11-1)/O11)^(-2) -1</f>
        <v>1.0373473517289478</v>
      </c>
    </row>
    <row r="12" spans="1:29" x14ac:dyDescent="0.3">
      <c r="A12">
        <f t="shared" si="2"/>
        <v>1900</v>
      </c>
      <c r="B12" s="2">
        <f>Sheet1!B10</f>
        <v>28783</v>
      </c>
      <c r="C12" s="2">
        <f>Sheet1!F10</f>
        <v>22018</v>
      </c>
      <c r="D12" s="2">
        <f>Sheet1!G10</f>
        <v>240</v>
      </c>
      <c r="E12" s="2">
        <f>Sheet1!O10</f>
        <v>3517</v>
      </c>
      <c r="F12" s="2">
        <f>Sheet1!D10</f>
        <v>1567</v>
      </c>
      <c r="G12" s="12">
        <f t="shared" si="1"/>
        <v>6765</v>
      </c>
      <c r="H12" s="2">
        <f>Sheet1!N10</f>
        <v>24120</v>
      </c>
      <c r="I12" s="12">
        <v>12000</v>
      </c>
      <c r="J12">
        <f>Sheet2!J9</f>
        <v>5796</v>
      </c>
      <c r="K12">
        <f>Sheet2!P9</f>
        <v>12561</v>
      </c>
      <c r="L12">
        <f>Sheet1!T10</f>
        <v>0.10624367677503606</v>
      </c>
      <c r="M12">
        <f>Sheet2!Q9</f>
        <v>0.46142823023644614</v>
      </c>
      <c r="N12">
        <f>M12/R12</f>
        <v>2.9331581298837079</v>
      </c>
      <c r="O12">
        <f t="shared" si="0"/>
        <v>2.6229006311181915</v>
      </c>
      <c r="P12">
        <f>1/(1+N12)</f>
        <v>0.25424861319510872</v>
      </c>
      <c r="Q12">
        <f t="shared" si="3"/>
        <v>1900</v>
      </c>
      <c r="R12">
        <f>Sheet1!AF10</f>
        <v>0.15731447463923146</v>
      </c>
      <c r="S12">
        <f>1-M12-R12</f>
        <v>0.38125729512432249</v>
      </c>
      <c r="T12">
        <f>1-(O12/(O12-1))^(-O12)</f>
        <v>0.71610895888219106</v>
      </c>
      <c r="U12">
        <f>(O12/(O12-1))^(-2.63)</f>
        <v>0.28292514083262149</v>
      </c>
      <c r="V12">
        <f>(O12/(O12-1))^(-3)</f>
        <v>0.23688102554642562</v>
      </c>
      <c r="W12">
        <f>(O12/(O12-1))^(-2)</f>
        <v>0.38284253483686981</v>
      </c>
      <c r="X12">
        <f t="shared" si="4"/>
        <v>0.71707485916737856</v>
      </c>
      <c r="Y12">
        <f t="shared" si="5"/>
        <v>0.76311897445357435</v>
      </c>
      <c r="Z12">
        <f t="shared" si="6"/>
        <v>0.61715746516313019</v>
      </c>
      <c r="AA12">
        <f>((O12-1)/O12)^(-3) -1</f>
        <v>3.2215284980856902</v>
      </c>
      <c r="AB12">
        <f>((O12-1)/O12)^(-2.63) -1</f>
        <v>2.5345038516446308</v>
      </c>
      <c r="AC12">
        <f>((O12-1)/O12)^(-2) -1</f>
        <v>1.6120399616152965</v>
      </c>
    </row>
    <row r="13" spans="1:29" x14ac:dyDescent="0.3">
      <c r="A13">
        <f t="shared" si="2"/>
        <v>1901</v>
      </c>
      <c r="B13" s="2">
        <f>Sheet1!B11</f>
        <v>32338</v>
      </c>
      <c r="C13" s="2">
        <f>Sheet1!F11</f>
        <v>24122</v>
      </c>
      <c r="D13" s="2">
        <f>Sheet1!G11</f>
        <v>42</v>
      </c>
      <c r="E13" s="2">
        <f>Sheet1!O11</f>
        <v>923</v>
      </c>
      <c r="F13" s="2">
        <f>Sheet1!D11</f>
        <v>1132</v>
      </c>
      <c r="G13" s="12">
        <f t="shared" si="1"/>
        <v>8216</v>
      </c>
      <c r="H13" s="2">
        <f>Sheet1!N11</f>
        <v>28752</v>
      </c>
      <c r="I13" s="12">
        <v>15000</v>
      </c>
      <c r="J13">
        <f>Sheet2!J10</f>
        <v>7665</v>
      </c>
      <c r="K13">
        <f>Sheet2!P10</f>
        <v>15881</v>
      </c>
      <c r="L13">
        <f>Sheet1!T11</f>
        <v>0.11672264654139709</v>
      </c>
      <c r="M13">
        <f>Sheet2!Q10</f>
        <v>0.482652225930357</v>
      </c>
      <c r="N13">
        <f>M13/R13</f>
        <v>5.110580643161871</v>
      </c>
      <c r="O13">
        <f t="shared" si="0"/>
        <v>2.3645915749315027</v>
      </c>
      <c r="P13">
        <f>1/(1+N13)</f>
        <v>0.16365056913520382</v>
      </c>
      <c r="Q13">
        <f t="shared" si="3"/>
        <v>1901</v>
      </c>
      <c r="R13">
        <f>Sheet1!AF11</f>
        <v>9.444175909368771E-2</v>
      </c>
      <c r="S13">
        <f>1-M13-R13</f>
        <v>0.42290601497595537</v>
      </c>
      <c r="T13">
        <f>1-(O13/(O13-1))^(-O13)</f>
        <v>0.72745036905490335</v>
      </c>
      <c r="U13">
        <f>(O13/(O13-1))^(-2.63)</f>
        <v>0.23554745735078836</v>
      </c>
      <c r="V13">
        <f>(O13/(O13-1))^(-3)</f>
        <v>0.19219391931128346</v>
      </c>
      <c r="W13">
        <f>(O13/(O13-1))^(-2)</f>
        <v>0.33303746755093228</v>
      </c>
      <c r="X13">
        <f t="shared" si="4"/>
        <v>0.7644525426492117</v>
      </c>
      <c r="Y13">
        <f t="shared" si="5"/>
        <v>0.80780608068871651</v>
      </c>
      <c r="Z13">
        <f t="shared" si="6"/>
        <v>0.66696253244906778</v>
      </c>
      <c r="AA13">
        <f>((O13-1)/O13)^(-3) -1</f>
        <v>4.2030782429717135</v>
      </c>
      <c r="AB13">
        <f>((O13-1)/O13)^(-2.63) -1</f>
        <v>3.2454289731973329</v>
      </c>
      <c r="AC13">
        <f>((O13-1)/O13)^(-2) -1</f>
        <v>2.0026651576284502</v>
      </c>
    </row>
    <row r="14" spans="1:29" x14ac:dyDescent="0.3">
      <c r="A14">
        <f t="shared" si="2"/>
        <v>1902</v>
      </c>
      <c r="B14" s="2">
        <f>Sheet1!B12</f>
        <v>36686</v>
      </c>
      <c r="C14" s="2">
        <f>Sheet1!F12</f>
        <v>26937</v>
      </c>
      <c r="D14" s="2">
        <f>Sheet1!G12</f>
        <v>77</v>
      </c>
      <c r="E14" s="2">
        <f>Sheet1!O12</f>
        <v>2285</v>
      </c>
      <c r="F14" s="2">
        <f>Sheet1!D12</f>
        <v>1908</v>
      </c>
      <c r="G14" s="12">
        <f t="shared" si="1"/>
        <v>9749</v>
      </c>
      <c r="H14" s="2">
        <f>Sheet1!N12</f>
        <v>33833</v>
      </c>
      <c r="I14" s="12">
        <v>18000</v>
      </c>
      <c r="J14">
        <f>Sheet2!J11</f>
        <v>9666</v>
      </c>
      <c r="K14">
        <f>Sheet2!P11</f>
        <v>19415</v>
      </c>
      <c r="L14">
        <f>Sheet1!T12</f>
        <v>0.11032927215503217</v>
      </c>
      <c r="M14">
        <f>Sheet2!Q11</f>
        <v>0.49786247746587692</v>
      </c>
      <c r="N14">
        <f>M14/R14</f>
        <v>4.0473334702779793</v>
      </c>
      <c r="O14">
        <f t="shared" si="0"/>
        <v>2.6376349177471305</v>
      </c>
      <c r="P14">
        <f>1/(1+N14)</f>
        <v>0.1981244167615748</v>
      </c>
      <c r="Q14">
        <f t="shared" si="3"/>
        <v>1902</v>
      </c>
      <c r="R14">
        <f>Sheet1!AF12</f>
        <v>0.12300999685891527</v>
      </c>
      <c r="S14">
        <f>1-M14-R14</f>
        <v>0.37912752567520785</v>
      </c>
      <c r="T14">
        <f>1-(O14/(O14-1))^(-O14)</f>
        <v>0.71554346271966396</v>
      </c>
      <c r="U14">
        <f>(O14/(O14-1))^(-2.63)</f>
        <v>0.28549356821518385</v>
      </c>
      <c r="V14">
        <f>(O14/(O14-1))^(-3)</f>
        <v>0.23933555390877992</v>
      </c>
      <c r="W14">
        <f>(O14/(O14-1))^(-2)</f>
        <v>0.38548262937418964</v>
      </c>
      <c r="X14">
        <f t="shared" si="4"/>
        <v>0.71450643178481621</v>
      </c>
      <c r="Y14">
        <f t="shared" si="5"/>
        <v>0.76066444609122008</v>
      </c>
      <c r="Z14">
        <f t="shared" si="6"/>
        <v>0.61451737062581036</v>
      </c>
      <c r="AA14">
        <f>((O14-1)/O14)^(-3) -1</f>
        <v>3.1782342141324271</v>
      </c>
      <c r="AB14">
        <f>((O14-1)/O14)^(-2.63) -1</f>
        <v>2.5027058796864883</v>
      </c>
      <c r="AC14">
        <f>((O14-1)/O14)^(-2) -1</f>
        <v>1.5941506148369031</v>
      </c>
    </row>
    <row r="15" spans="1:29" x14ac:dyDescent="0.3">
      <c r="A15">
        <f t="shared" si="2"/>
        <v>1903</v>
      </c>
      <c r="B15" s="2">
        <f>Sheet1!B13</f>
        <v>41700</v>
      </c>
      <c r="C15" s="2">
        <f>Sheet1!F13</f>
        <v>32890</v>
      </c>
      <c r="D15" s="2">
        <f>Sheet1!G13</f>
        <v>76</v>
      </c>
      <c r="E15" s="2">
        <f>Sheet1!O13</f>
        <v>2131</v>
      </c>
      <c r="F15" s="2">
        <f>Sheet1!D13</f>
        <v>2028</v>
      </c>
      <c r="G15" s="12">
        <f t="shared" si="1"/>
        <v>8810</v>
      </c>
      <c r="H15" s="2">
        <f>Sheet1!N13</f>
        <v>37463</v>
      </c>
      <c r="I15" s="12">
        <v>17000</v>
      </c>
      <c r="J15">
        <f>Sheet2!J12</f>
        <v>9316</v>
      </c>
      <c r="K15">
        <f>Sheet2!P12</f>
        <v>18126</v>
      </c>
      <c r="L15">
        <f>Sheet1!T13</f>
        <v>0.10071428287270244</v>
      </c>
      <c r="M15">
        <f>Sheet2!Q12</f>
        <v>0.51395785060134613</v>
      </c>
      <c r="N15">
        <f>M15/R15</f>
        <v>3.395698202496876</v>
      </c>
      <c r="O15">
        <f t="shared" si="0"/>
        <v>2.9878700657076984</v>
      </c>
      <c r="P15">
        <f>1/(1+N15)</f>
        <v>0.22749514501063173</v>
      </c>
      <c r="Q15">
        <f t="shared" si="3"/>
        <v>1903</v>
      </c>
      <c r="R15">
        <f>Sheet1!AF13</f>
        <v>0.15135557400932451</v>
      </c>
      <c r="S15">
        <f>1-M15-R15</f>
        <v>0.33468657538932933</v>
      </c>
      <c r="T15">
        <f>1-(O15/(O15-1))^(-O15)</f>
        <v>0.70404509677080696</v>
      </c>
      <c r="U15">
        <f>(O15/(O15-1))^(-2.63)</f>
        <v>0.34242000868861899</v>
      </c>
      <c r="V15">
        <f>(O15/(O15-1))^(-3)</f>
        <v>0.29449563360494896</v>
      </c>
      <c r="W15">
        <f>(O15/(O15-1))^(-2)</f>
        <v>0.44264195296717851</v>
      </c>
      <c r="X15">
        <f t="shared" si="4"/>
        <v>0.65757999131138101</v>
      </c>
      <c r="Y15">
        <f t="shared" si="5"/>
        <v>0.7055043663950511</v>
      </c>
      <c r="Z15">
        <f t="shared" si="6"/>
        <v>0.55735804703282144</v>
      </c>
      <c r="AA15">
        <f>((O15-1)/O15)^(-3) -1</f>
        <v>2.3956360838322288</v>
      </c>
      <c r="AB15">
        <f>((O15-1)/O15)^(-2.63) -1</f>
        <v>1.9203900900234894</v>
      </c>
      <c r="AC15">
        <f>((O15-1)/O15)^(-2) -1</f>
        <v>1.2591622716659869</v>
      </c>
    </row>
    <row r="16" spans="1:29" x14ac:dyDescent="0.3">
      <c r="A16">
        <f t="shared" si="2"/>
        <v>1904</v>
      </c>
      <c r="B16" s="2">
        <f>Sheet1!B14</f>
        <v>39231</v>
      </c>
      <c r="C16" s="2">
        <f>Sheet1!F14</f>
        <v>31750</v>
      </c>
      <c r="D16" s="2">
        <f>Sheet1!G14</f>
        <v>76</v>
      </c>
      <c r="E16" s="2">
        <f>Sheet1!O14</f>
        <v>2127</v>
      </c>
      <c r="F16" s="2">
        <f>Sheet1!D14</f>
        <v>1778</v>
      </c>
      <c r="G16" s="12">
        <f t="shared" si="1"/>
        <v>7481</v>
      </c>
      <c r="H16" s="2">
        <f>Sheet1!N14</f>
        <v>43801</v>
      </c>
      <c r="I16" s="12">
        <v>18000</v>
      </c>
      <c r="J16">
        <f>Sheet2!J13</f>
        <v>9684</v>
      </c>
      <c r="K16">
        <f>Sheet2!P13</f>
        <v>17165</v>
      </c>
      <c r="L16">
        <f>Sheet1!T14</f>
        <v>9.4265882352548361E-2</v>
      </c>
      <c r="M16">
        <f>Sheet2!Q13</f>
        <v>0.56417127876492867</v>
      </c>
      <c r="N16">
        <f>M16/R16</f>
        <v>3.7592095023634795</v>
      </c>
      <c r="O16">
        <f t="shared" si="0"/>
        <v>3.4995427594339783</v>
      </c>
      <c r="P16">
        <f>1/(1+N16)</f>
        <v>0.21011892825970119</v>
      </c>
      <c r="Q16">
        <f t="shared" si="3"/>
        <v>1904</v>
      </c>
      <c r="R16">
        <f>Sheet1!AF14</f>
        <v>0.15007710488341353</v>
      </c>
      <c r="S16">
        <f>1-M16-R16</f>
        <v>0.2857516163516578</v>
      </c>
      <c r="T16">
        <f>1-(O16/(O16-1))^(-O16)</f>
        <v>0.69200812629282438</v>
      </c>
      <c r="U16">
        <f>(O16/(O16-1))^(-2.63)</f>
        <v>0.41268964338675251</v>
      </c>
      <c r="V16">
        <f>(O16/(O16-1))^(-3)</f>
        <v>0.36437435113597832</v>
      </c>
      <c r="W16">
        <f>(O16/(O16-1))^(-2)</f>
        <v>0.51015075354426953</v>
      </c>
      <c r="X16">
        <f t="shared" si="4"/>
        <v>0.58731035661324749</v>
      </c>
      <c r="Y16">
        <f t="shared" si="5"/>
        <v>0.63562564886402173</v>
      </c>
      <c r="Z16">
        <f t="shared" si="6"/>
        <v>0.48984924645573047</v>
      </c>
      <c r="AA16">
        <f>((O16-1)/O16)^(-3) -1</f>
        <v>1.7444302731034362</v>
      </c>
      <c r="AB16">
        <f>((O16-1)/O16)^(-2.63) -1</f>
        <v>1.4231284114461027</v>
      </c>
      <c r="AC16">
        <f>((O16-1)/O16)^(-2) -1</f>
        <v>0.96020488659970749</v>
      </c>
    </row>
    <row r="17" spans="1:29" x14ac:dyDescent="0.3">
      <c r="A17">
        <f t="shared" si="2"/>
        <v>1905</v>
      </c>
      <c r="B17" s="2">
        <f>Sheet1!B15</f>
        <v>43147</v>
      </c>
      <c r="C17" s="2">
        <f>Sheet1!F15</f>
        <v>35187</v>
      </c>
      <c r="D17" s="2">
        <f>Sheet1!G15</f>
        <v>75</v>
      </c>
      <c r="E17" s="2">
        <f>Sheet1!O15</f>
        <v>2072</v>
      </c>
      <c r="F17" s="2">
        <f>Sheet1!D15</f>
        <v>1838</v>
      </c>
      <c r="G17" s="12">
        <f t="shared" si="1"/>
        <v>7960</v>
      </c>
      <c r="H17" s="2">
        <f>Sheet1!N15</f>
        <v>48313</v>
      </c>
      <c r="I17" s="12">
        <v>22000</v>
      </c>
      <c r="J17">
        <f>Sheet2!J14</f>
        <v>12342</v>
      </c>
      <c r="K17">
        <f>Sheet2!P14</f>
        <v>20302</v>
      </c>
      <c r="L17">
        <f>Sheet1!T15</f>
        <v>9.429120845745019E-2</v>
      </c>
      <c r="M17">
        <f>Sheet2!Q14</f>
        <v>0.60792040193084429</v>
      </c>
      <c r="N17">
        <f>M17/R17</f>
        <v>4.6828941334150791</v>
      </c>
      <c r="O17">
        <f t="shared" si="0"/>
        <v>3.8129757383564815</v>
      </c>
      <c r="P17">
        <f>1/(1+N17)</f>
        <v>0.17596667763350712</v>
      </c>
      <c r="Q17">
        <f t="shared" si="3"/>
        <v>1905</v>
      </c>
      <c r="R17">
        <f>Sheet1!AF15</f>
        <v>0.12981724220348925</v>
      </c>
      <c r="S17">
        <f>1-M17-R17</f>
        <v>0.26226235586566649</v>
      </c>
      <c r="T17">
        <f>1-(O17/(O17-1))^(-O17)</f>
        <v>0.6864452968005712</v>
      </c>
      <c r="U17">
        <f>(O17/(O17-1))^(-2.63)</f>
        <v>0.44934727685661841</v>
      </c>
      <c r="V17">
        <f>(O17/(O17-1))^(-3)</f>
        <v>0.40151875272859056</v>
      </c>
      <c r="W17">
        <f>(O17/(O17-1))^(-2)</f>
        <v>0.54425683157287641</v>
      </c>
      <c r="X17">
        <f t="shared" si="4"/>
        <v>0.55065272314338154</v>
      </c>
      <c r="Y17">
        <f t="shared" si="5"/>
        <v>0.59848124727140939</v>
      </c>
      <c r="Z17">
        <f t="shared" si="6"/>
        <v>0.45574316842712359</v>
      </c>
      <c r="AA17">
        <f>((O17-1)/O17)^(-3) -1</f>
        <v>1.4905436999002557</v>
      </c>
      <c r="AB17">
        <f>((O17-1)/O17)^(-2.63) -1</f>
        <v>1.2254502285969977</v>
      </c>
      <c r="AC17">
        <f>((O17-1)/O17)^(-2) -1</f>
        <v>0.83736784177802104</v>
      </c>
    </row>
    <row r="18" spans="1:29" x14ac:dyDescent="0.3">
      <c r="A18">
        <f t="shared" si="2"/>
        <v>1906</v>
      </c>
      <c r="B18" s="2">
        <f>Sheet1!B16</f>
        <v>60072</v>
      </c>
      <c r="C18" s="2">
        <f>Sheet1!F16</f>
        <v>50273</v>
      </c>
      <c r="D18" s="2">
        <f>Sheet1!G16</f>
        <v>74</v>
      </c>
      <c r="E18" s="2">
        <f>Sheet1!O16</f>
        <v>2102</v>
      </c>
      <c r="F18" s="2">
        <f>Sheet1!D16</f>
        <v>2834</v>
      </c>
      <c r="G18" s="12">
        <f t="shared" si="1"/>
        <v>9799</v>
      </c>
      <c r="H18" s="2">
        <f>Sheet1!N16</f>
        <v>58559</v>
      </c>
      <c r="I18" s="12">
        <v>28000</v>
      </c>
      <c r="J18">
        <f>Sheet2!J15</f>
        <v>16156</v>
      </c>
      <c r="K18">
        <f>Sheet2!P15</f>
        <v>25955</v>
      </c>
      <c r="L18">
        <f>Sheet1!T16</f>
        <v>0.10243440120500601</v>
      </c>
      <c r="M18">
        <f>Sheet2!Q15</f>
        <v>0.62246195338085142</v>
      </c>
      <c r="N18">
        <f>M18/R18</f>
        <v>4.221437095999427</v>
      </c>
      <c r="O18">
        <f t="shared" si="0"/>
        <v>4.3462117871160872</v>
      </c>
      <c r="P18">
        <f>1/(1+N18)</f>
        <v>0.1915181551772753</v>
      </c>
      <c r="Q18">
        <f t="shared" si="3"/>
        <v>1906</v>
      </c>
      <c r="R18">
        <f>Sheet1!AF16</f>
        <v>0.14745261843904919</v>
      </c>
      <c r="S18">
        <f>1-M18-R18</f>
        <v>0.23008542818009939</v>
      </c>
      <c r="T18">
        <f>1-(O18/(O18-1))^(-O18)</f>
        <v>0.67903681112416514</v>
      </c>
      <c r="U18">
        <f>(O18/(O18-1))^(-2.63)</f>
        <v>0.50274050681613691</v>
      </c>
      <c r="V18">
        <f>(O18/(O18-1))^(-3)</f>
        <v>0.45638106575375348</v>
      </c>
      <c r="W18">
        <f>(O18/(O18-1))^(-2)</f>
        <v>0.59276844790062078</v>
      </c>
      <c r="X18">
        <f t="shared" si="4"/>
        <v>0.49725949318386309</v>
      </c>
      <c r="Y18">
        <f t="shared" si="5"/>
        <v>0.54361893424624652</v>
      </c>
      <c r="Z18">
        <f t="shared" si="6"/>
        <v>0.40723155209937922</v>
      </c>
      <c r="AA18">
        <f>((O18-1)/O18)^(-3) -1</f>
        <v>1.191151375547125</v>
      </c>
      <c r="AB18">
        <f>((O18-1)/O18)^(-2.63) -1</f>
        <v>0.98909772823561481</v>
      </c>
      <c r="AC18">
        <f>((O18-1)/O18)^(-2) -1</f>
        <v>0.68699937309695081</v>
      </c>
    </row>
    <row r="19" spans="1:29" x14ac:dyDescent="0.3">
      <c r="A19">
        <f t="shared" si="2"/>
        <v>1907</v>
      </c>
      <c r="B19" s="2">
        <f>Sheet1!B17</f>
        <v>70977</v>
      </c>
      <c r="C19" s="2">
        <f>Sheet1!F17</f>
        <v>61790</v>
      </c>
      <c r="D19" s="2">
        <f>Sheet1!G17</f>
        <v>362</v>
      </c>
      <c r="E19" s="2">
        <f>Sheet1!O17</f>
        <v>9611</v>
      </c>
      <c r="F19" s="2">
        <f>Sheet1!D17</f>
        <v>3746</v>
      </c>
      <c r="G19" s="12">
        <f t="shared" si="1"/>
        <v>9187</v>
      </c>
      <c r="H19" s="2">
        <f>Sheet1!N17</f>
        <v>78766</v>
      </c>
      <c r="I19" s="12">
        <v>20000</v>
      </c>
      <c r="J19">
        <f>Sheet2!J16</f>
        <v>11960</v>
      </c>
      <c r="K19">
        <f>Sheet2!P16</f>
        <v>21147</v>
      </c>
      <c r="L19">
        <f>Sheet1!T17</f>
        <v>0.11209975983434388</v>
      </c>
      <c r="M19">
        <f>Sheet2!Q16</f>
        <v>0.56556485553506408</v>
      </c>
      <c r="N19">
        <f>M19/R19</f>
        <v>2.2828086886421408</v>
      </c>
      <c r="O19">
        <f t="shared" si="0"/>
        <v>5.3566000831604299</v>
      </c>
      <c r="P19">
        <f>1/(1+N19)</f>
        <v>0.30461720278120358</v>
      </c>
      <c r="Q19">
        <f t="shared" si="3"/>
        <v>1907</v>
      </c>
      <c r="R19">
        <f>Sheet1!AF17</f>
        <v>0.24774956322400943</v>
      </c>
      <c r="S19">
        <f>1-M19-R19</f>
        <v>0.18668558124092649</v>
      </c>
      <c r="T19">
        <f>1-(O19/(O19-1))^(-O19)</f>
        <v>0.66940938370027259</v>
      </c>
      <c r="U19">
        <f>(O19/(O19-1))^(-2.63)</f>
        <v>0.58073737957104943</v>
      </c>
      <c r="V19">
        <f>(O19/(O19-1))^(-3)</f>
        <v>0.53799150130686313</v>
      </c>
      <c r="W19">
        <f>(O19/(O19-1))^(-2)</f>
        <v>0.66148034376140963</v>
      </c>
      <c r="X19">
        <f t="shared" si="4"/>
        <v>0.41926262042895057</v>
      </c>
      <c r="Y19">
        <f t="shared" si="5"/>
        <v>0.46200849869313687</v>
      </c>
      <c r="Z19">
        <f t="shared" si="6"/>
        <v>0.33851965623859037</v>
      </c>
      <c r="AA19">
        <f>((O19-1)/O19)^(-3) -1</f>
        <v>0.85876542207608897</v>
      </c>
      <c r="AB19">
        <f>((O19-1)/O19)^(-2.63) -1</f>
        <v>0.72194874168187884</v>
      </c>
      <c r="AC19">
        <f>((O19-1)/O19)^(-2) -1</f>
        <v>0.51176071886527819</v>
      </c>
    </row>
    <row r="20" spans="1:29" x14ac:dyDescent="0.3">
      <c r="A20">
        <f t="shared" si="2"/>
        <v>1908</v>
      </c>
      <c r="B20" s="2">
        <f>Sheet1!B18</f>
        <v>44541</v>
      </c>
      <c r="C20" s="2">
        <f>Sheet1!F18</f>
        <v>40126</v>
      </c>
      <c r="D20" s="2">
        <f>Sheet1!G18</f>
        <v>717</v>
      </c>
      <c r="E20" s="2">
        <f>Sheet1!O18</f>
        <v>14963</v>
      </c>
      <c r="F20" s="2">
        <f>Sheet1!D18</f>
        <v>1524</v>
      </c>
      <c r="G20" s="12">
        <f t="shared" si="1"/>
        <v>4415</v>
      </c>
      <c r="H20" s="2">
        <f>Sheet1!N18</f>
        <v>74431</v>
      </c>
      <c r="I20" s="12">
        <v>23000</v>
      </c>
      <c r="J20">
        <f>Sheet2!J17</f>
        <v>12604</v>
      </c>
      <c r="K20">
        <f>Sheet2!P17</f>
        <v>17019</v>
      </c>
      <c r="L20">
        <f>Sheet1!T18</f>
        <v>0.10828870794594292</v>
      </c>
      <c r="M20">
        <f>Sheet2!Q17</f>
        <v>0.7405840531171044</v>
      </c>
      <c r="N20">
        <f>M20/R20</f>
        <v>4.3401251122156417</v>
      </c>
      <c r="O20">
        <f t="shared" si="0"/>
        <v>11.26387693526538</v>
      </c>
      <c r="P20">
        <f>1/(1+N20)</f>
        <v>0.18726153020506583</v>
      </c>
      <c r="Q20">
        <f t="shared" si="3"/>
        <v>1908</v>
      </c>
      <c r="R20">
        <f>Sheet1!AF18</f>
        <v>0.17063656783364822</v>
      </c>
      <c r="S20">
        <f>1-M20-R20</f>
        <v>8.8779379049247376E-2</v>
      </c>
      <c r="T20">
        <f>1-(O20/(O20-1))^(-O20)</f>
        <v>0.64908291317060296</v>
      </c>
      <c r="U20">
        <f>(O20/(O20-1))^(-2.63)</f>
        <v>0.78308680884367265</v>
      </c>
      <c r="V20">
        <f>(O20/(O20-1))^(-3)</f>
        <v>0.75660745791590667</v>
      </c>
      <c r="W20">
        <f>(O20/(O20-1))^(-2)</f>
        <v>0.83032302004587522</v>
      </c>
      <c r="X20">
        <f t="shared" si="4"/>
        <v>0.21691319115632735</v>
      </c>
      <c r="Y20">
        <f t="shared" si="5"/>
        <v>0.24339254208409333</v>
      </c>
      <c r="Z20">
        <f t="shared" si="6"/>
        <v>0.16967697995412478</v>
      </c>
      <c r="AA20">
        <f>((O20-1)/O20)^(-3) -1</f>
        <v>0.32168932454687127</v>
      </c>
      <c r="AB20">
        <f>((O20-1)/O20)^(-2.63) -1</f>
        <v>0.27699763130556021</v>
      </c>
      <c r="AC20">
        <f>((O20-1)/O20)^(-2) -1</f>
        <v>0.20435056701758092</v>
      </c>
    </row>
    <row r="21" spans="1:29" x14ac:dyDescent="0.3">
      <c r="A21">
        <f t="shared" si="2"/>
        <v>1909</v>
      </c>
      <c r="B21" s="2">
        <f>Sheet1!B19</f>
        <v>51657</v>
      </c>
      <c r="C21" s="2">
        <f>Sheet1!F19</f>
        <v>44503</v>
      </c>
      <c r="D21" s="2">
        <f>Sheet1!G19</f>
        <v>658</v>
      </c>
      <c r="E21" s="2">
        <f>Sheet1!O19</f>
        <v>14962</v>
      </c>
      <c r="F21" s="2">
        <f>Sheet1!D19</f>
        <v>2448</v>
      </c>
      <c r="G21" s="12">
        <f t="shared" si="1"/>
        <v>7154</v>
      </c>
      <c r="H21" s="2">
        <f>Sheet1!N19</f>
        <v>74308</v>
      </c>
      <c r="I21" s="12">
        <v>30000</v>
      </c>
      <c r="J21">
        <f>Sheet2!J18</f>
        <v>17970</v>
      </c>
      <c r="K21">
        <f>Sheet2!P18</f>
        <v>25124</v>
      </c>
      <c r="L21">
        <f>Sheet1!T19</f>
        <v>0.10334595122701487</v>
      </c>
      <c r="M21">
        <f>Sheet2!Q18</f>
        <v>0.71525234835217322</v>
      </c>
      <c r="N21">
        <f>M21/R21</f>
        <v>4.9307358379222865</v>
      </c>
      <c r="O21">
        <f t="shared" si="0"/>
        <v>7.1588269185711821</v>
      </c>
      <c r="P21">
        <f>1/(1+N21)</f>
        <v>0.16861314132485958</v>
      </c>
      <c r="Q21">
        <f t="shared" si="3"/>
        <v>1909</v>
      </c>
      <c r="R21">
        <f>Sheet1!AF19</f>
        <v>0.14505996100037805</v>
      </c>
      <c r="S21">
        <f>1-M21-R21</f>
        <v>0.13968769064744874</v>
      </c>
      <c r="T21">
        <f>1-(O21/(O21-1))^(-O21)</f>
        <v>0.65942356639449051</v>
      </c>
      <c r="U21">
        <f>(O21/(O21-1))^(-2.63)</f>
        <v>0.67320237563529906</v>
      </c>
      <c r="V21">
        <f>(O21/(O21-1))^(-3)</f>
        <v>0.63674920366770227</v>
      </c>
      <c r="W21">
        <f>(O21/(O21-1))^(-2)</f>
        <v>0.74013726962351989</v>
      </c>
      <c r="X21">
        <f t="shared" si="4"/>
        <v>0.32679762436470094</v>
      </c>
      <c r="Y21">
        <f t="shared" si="5"/>
        <v>0.36325079633229773</v>
      </c>
      <c r="Z21">
        <f t="shared" si="6"/>
        <v>0.25986273037648011</v>
      </c>
      <c r="AA21">
        <f>((O21-1)/O21)^(-3) -1</f>
        <v>0.57047703277830264</v>
      </c>
      <c r="AB21">
        <f>((O21-1)/O21)^(-2.63) -1</f>
        <v>0.48543741999766854</v>
      </c>
      <c r="AC21">
        <f>((O21-1)/O21)^(-2) -1</f>
        <v>0.35110072285464389</v>
      </c>
    </row>
    <row r="22" spans="1:29" x14ac:dyDescent="0.3">
      <c r="A22">
        <f t="shared" si="2"/>
        <v>1910</v>
      </c>
      <c r="B22" s="2">
        <f>Sheet1!B20</f>
        <v>71479</v>
      </c>
      <c r="C22" s="2">
        <f>Sheet1!F20</f>
        <v>58474</v>
      </c>
      <c r="D22" s="2">
        <f>Sheet1!G20</f>
        <v>717</v>
      </c>
      <c r="E22" s="2">
        <f>Sheet1!O20</f>
        <v>14962</v>
      </c>
      <c r="F22" s="2">
        <f>Sheet1!D20</f>
        <v>4661</v>
      </c>
      <c r="G22" s="12">
        <f t="shared" si="1"/>
        <v>13005</v>
      </c>
      <c r="H22" s="2">
        <f>Sheet1!N20</f>
        <v>78381</v>
      </c>
      <c r="I22" s="12">
        <v>32000</v>
      </c>
      <c r="J22">
        <f>Sheet2!J19</f>
        <v>20832</v>
      </c>
      <c r="K22">
        <f>Sheet2!P19</f>
        <v>33837</v>
      </c>
      <c r="L22">
        <f>Sheet1!T20</f>
        <v>0.10082904134108053</v>
      </c>
      <c r="M22">
        <f>Sheet2!Q19</f>
        <v>0.6156574164376275</v>
      </c>
      <c r="N22">
        <f>M22/R22</f>
        <v>3.2732762828511195</v>
      </c>
      <c r="O22">
        <f t="shared" si="0"/>
        <v>5.0953702576442472</v>
      </c>
      <c r="P22">
        <f>1/(1+N22)</f>
        <v>0.23401248452225101</v>
      </c>
      <c r="Q22">
        <f t="shared" si="3"/>
        <v>1910</v>
      </c>
      <c r="R22">
        <f>Sheet1!AF20</f>
        <v>0.18808599190453054</v>
      </c>
      <c r="S22">
        <f>1-M22-R22</f>
        <v>0.19625659165784196</v>
      </c>
      <c r="T22">
        <f>1-(O22/(O22-1))^(-O22)</f>
        <v>0.67149790365765449</v>
      </c>
      <c r="U22">
        <f>(O22/(O22-1))^(-2.63)</f>
        <v>0.5629357444018771</v>
      </c>
      <c r="V22">
        <f>(O22/(O22-1))^(-3)</f>
        <v>0.51922102792816016</v>
      </c>
      <c r="W22">
        <f>(O22/(O22-1))^(-2)</f>
        <v>0.64600346645346907</v>
      </c>
      <c r="X22">
        <f t="shared" si="4"/>
        <v>0.4370642555981229</v>
      </c>
      <c r="Y22">
        <f t="shared" si="5"/>
        <v>0.48077897207183984</v>
      </c>
      <c r="Z22">
        <f t="shared" si="6"/>
        <v>0.35399653354653093</v>
      </c>
      <c r="AA22">
        <f>((O22-1)/O22)^(-3) -1</f>
        <v>0.92596205895259076</v>
      </c>
      <c r="AB22">
        <f>((O22-1)/O22)^(-2.63) -1</f>
        <v>0.776401676291681</v>
      </c>
      <c r="AC22">
        <f>((O22-1)/O22)^(-2) -1</f>
        <v>0.54797930960023566</v>
      </c>
    </row>
    <row r="23" spans="1:29" x14ac:dyDescent="0.3">
      <c r="A23">
        <f t="shared" si="2"/>
        <v>1911</v>
      </c>
      <c r="B23" s="2">
        <f>Sheet1!B21</f>
        <v>70384</v>
      </c>
      <c r="C23" s="2">
        <f>Sheet1!F21</f>
        <v>59347</v>
      </c>
      <c r="D23" s="2">
        <f>Sheet1!G21</f>
        <v>596</v>
      </c>
      <c r="E23" s="2">
        <f>Sheet1!O21</f>
        <v>9858</v>
      </c>
      <c r="F23" s="2">
        <f>Sheet1!D21</f>
        <v>3114</v>
      </c>
      <c r="G23" s="12">
        <f t="shared" si="1"/>
        <v>11037</v>
      </c>
      <c r="H23" s="2">
        <f>Sheet1!N21</f>
        <v>79495</v>
      </c>
      <c r="I23" s="12">
        <v>41000</v>
      </c>
      <c r="J23">
        <f>Sheet2!J20</f>
        <v>25912</v>
      </c>
      <c r="K23">
        <f>Sheet2!P20</f>
        <v>36949</v>
      </c>
      <c r="L23">
        <f>Sheet1!T21</f>
        <v>9.7684254024747716E-2</v>
      </c>
      <c r="M23">
        <f>Sheet2!Q20</f>
        <v>0.70129096863243934</v>
      </c>
      <c r="N23">
        <f>M23/R23</f>
        <v>5.1585144380835244</v>
      </c>
      <c r="O23">
        <f t="shared" si="0"/>
        <v>6.1439859269712729</v>
      </c>
      <c r="P23">
        <f>1/(1+N23)</f>
        <v>0.16237682156205047</v>
      </c>
      <c r="Q23">
        <f t="shared" si="3"/>
        <v>1911</v>
      </c>
      <c r="R23">
        <f>Sheet1!AF21</f>
        <v>0.1359482418920942</v>
      </c>
      <c r="S23">
        <f>1-M23-R23</f>
        <v>0.16276078947546646</v>
      </c>
      <c r="T23">
        <f>1-(O23/(O23-1))^(-O23)</f>
        <v>0.66427105992172741</v>
      </c>
      <c r="U23">
        <f>(O23/(O23-1))^(-2.63)</f>
        <v>0.62674999837983292</v>
      </c>
      <c r="V23">
        <f>(O23/(O23-1))^(-3)</f>
        <v>0.58687914713119993</v>
      </c>
      <c r="W23">
        <f>(O23/(O23-1))^(-2)</f>
        <v>0.7009694956397442</v>
      </c>
      <c r="X23">
        <f t="shared" si="4"/>
        <v>0.37325000162016708</v>
      </c>
      <c r="Y23">
        <f t="shared" si="5"/>
        <v>0.41312085286880007</v>
      </c>
      <c r="Z23">
        <f t="shared" si="6"/>
        <v>0.2990305043602558</v>
      </c>
      <c r="AA23">
        <f>((O23-1)/O23)^(-3) -1</f>
        <v>0.70392832133877925</v>
      </c>
      <c r="AB23">
        <f>((O23-1)/O23)^(-2.63) -1</f>
        <v>0.5955325130993685</v>
      </c>
      <c r="AC23">
        <f>((O23-1)/O23)^(-2) -1</f>
        <v>0.42659560254807349</v>
      </c>
    </row>
    <row r="24" spans="1:29" x14ac:dyDescent="0.3">
      <c r="A24">
        <f t="shared" si="2"/>
        <v>1912</v>
      </c>
      <c r="B24" s="2">
        <f>Sheet1!B22</f>
        <v>89182</v>
      </c>
      <c r="C24" s="2">
        <f>Sheet1!F22</f>
        <v>77028</v>
      </c>
      <c r="D24" s="2">
        <f>Sheet1!G22</f>
        <v>532</v>
      </c>
      <c r="E24" s="2">
        <f>Sheet1!O22</f>
        <v>7293</v>
      </c>
      <c r="F24" s="2">
        <f>Sheet1!D22</f>
        <v>4046</v>
      </c>
      <c r="G24" s="12">
        <f t="shared" si="1"/>
        <v>12154</v>
      </c>
      <c r="H24" s="2">
        <f>Sheet1!N22</f>
        <v>100377</v>
      </c>
      <c r="I24" s="12">
        <v>56000</v>
      </c>
      <c r="J24">
        <f>Sheet2!J21</f>
        <v>36456</v>
      </c>
      <c r="K24">
        <f>Sheet2!P21</f>
        <v>48610</v>
      </c>
      <c r="L24">
        <f>Sheet1!T22</f>
        <v>0.10131987917937288</v>
      </c>
      <c r="M24">
        <f>Sheet2!Q21</f>
        <v>0.74996914215182064</v>
      </c>
      <c r="N24">
        <f>M24/R24</f>
        <v>5.9569918575595899</v>
      </c>
      <c r="O24">
        <f t="shared" si="0"/>
        <v>8.055838818212651</v>
      </c>
      <c r="P24">
        <f>1/(1+N24)</f>
        <v>0.14374028609985828</v>
      </c>
      <c r="Q24">
        <f t="shared" si="3"/>
        <v>1912</v>
      </c>
      <c r="R24">
        <f>Sheet1!AF22</f>
        <v>0.12589729180174869</v>
      </c>
      <c r="S24">
        <f>1-M24-R24</f>
        <v>0.12413356604643067</v>
      </c>
      <c r="T24">
        <f>1-(O24/(O24-1))^(-O24)</f>
        <v>0.65621346395040314</v>
      </c>
      <c r="U24">
        <f>(O24/(O24-1))^(-2.63)</f>
        <v>0.70568621270182386</v>
      </c>
      <c r="V24">
        <f>(O24/(O24-1))^(-3)</f>
        <v>0.6719139367455077</v>
      </c>
      <c r="W24">
        <f>(O24/(O24-1))^(-2)</f>
        <v>0.76714201012654237</v>
      </c>
      <c r="X24">
        <f t="shared" si="4"/>
        <v>0.29431378729817614</v>
      </c>
      <c r="Y24">
        <f t="shared" si="5"/>
        <v>0.3280860632544923</v>
      </c>
      <c r="Z24">
        <f t="shared" si="6"/>
        <v>0.23285798987345763</v>
      </c>
      <c r="AA24">
        <f>((O24-1)/O24)^(-3) -1</f>
        <v>0.48828584333823311</v>
      </c>
      <c r="AB24">
        <f>((O24-1)/O24)^(-2.63) -1</f>
        <v>0.41706041864039323</v>
      </c>
      <c r="AC24">
        <f>((O24-1)/O24)^(-2) -1</f>
        <v>0.30353961430823895</v>
      </c>
    </row>
    <row r="25" spans="1:29" x14ac:dyDescent="0.3">
      <c r="A25">
        <f t="shared" si="2"/>
        <v>1913</v>
      </c>
      <c r="B25" s="2">
        <f>Sheet1!B23</f>
        <v>106477</v>
      </c>
      <c r="C25" s="2">
        <f>Sheet1!F23</f>
        <v>90100</v>
      </c>
      <c r="D25" s="2">
        <f>Sheet1!G23</f>
        <v>614</v>
      </c>
      <c r="E25" s="2">
        <f>Sheet1!O23</f>
        <v>20152</v>
      </c>
      <c r="F25" s="2">
        <f>Sheet1!D23</f>
        <v>6502</v>
      </c>
      <c r="G25" s="12">
        <f t="shared" si="1"/>
        <v>16377</v>
      </c>
      <c r="H25" s="2">
        <f>Sheet1!N23</f>
        <v>108497</v>
      </c>
      <c r="I25" s="12">
        <v>56000</v>
      </c>
      <c r="J25">
        <f>Sheet2!J22</f>
        <v>38584</v>
      </c>
      <c r="K25">
        <f>Sheet2!P22</f>
        <v>54961</v>
      </c>
      <c r="L25">
        <f>Sheet1!T23</f>
        <v>0.10691237989454856</v>
      </c>
      <c r="M25">
        <f>Sheet2!Q22</f>
        <v>0.70202507232401157</v>
      </c>
      <c r="N25">
        <f>M25/R25</f>
        <v>4.1784259209571069</v>
      </c>
      <c r="O25">
        <f t="shared" si="0"/>
        <v>7.6944931120288462</v>
      </c>
      <c r="P25">
        <f>1/(1+N25)</f>
        <v>0.19310887425327389</v>
      </c>
      <c r="Q25">
        <f t="shared" si="3"/>
        <v>1913</v>
      </c>
      <c r="R25">
        <f>Sheet1!AF23</f>
        <v>0.16801185077925379</v>
      </c>
      <c r="S25">
        <f>1-M25-R25</f>
        <v>0.12996307689673464</v>
      </c>
      <c r="T25">
        <f>1-(O25/(O25-1))^(-O25)</f>
        <v>0.65741122843918676</v>
      </c>
      <c r="U25">
        <f>(O25/(O25-1))^(-2.63)</f>
        <v>0.69340043295380294</v>
      </c>
      <c r="V25">
        <f>(O25/(O25-1))^(-3)</f>
        <v>0.65858684484888863</v>
      </c>
      <c r="W25">
        <f>(O25/(O25-1))^(-2)</f>
        <v>0.75696424756299729</v>
      </c>
      <c r="X25">
        <f t="shared" si="4"/>
        <v>0.30659956704619706</v>
      </c>
      <c r="Y25">
        <f t="shared" si="5"/>
        <v>0.34141315515111137</v>
      </c>
      <c r="Z25">
        <f t="shared" si="6"/>
        <v>0.24303575243700271</v>
      </c>
      <c r="AA25">
        <f>((O25-1)/O25)^(-3) -1</f>
        <v>0.51840263409672005</v>
      </c>
      <c r="AB25">
        <f>((O25-1)/O25)^(-2.63) -1</f>
        <v>0.44216812173035391</v>
      </c>
      <c r="AC25">
        <f>((O25-1)/O25)^(-2) -1</f>
        <v>0.3210663558014033</v>
      </c>
    </row>
    <row r="26" spans="1:29" x14ac:dyDescent="0.3">
      <c r="A26">
        <f t="shared" si="2"/>
        <v>1914</v>
      </c>
      <c r="B26" s="2">
        <f>Sheet1!B24</f>
        <v>90468</v>
      </c>
      <c r="C26" s="2">
        <f>Sheet1!F24</f>
        <v>77126</v>
      </c>
      <c r="D26" s="2">
        <f>Sheet1!G24</f>
        <v>568</v>
      </c>
      <c r="E26" s="2">
        <f>Sheet1!O24</f>
        <v>12067</v>
      </c>
      <c r="F26" s="2">
        <f>Sheet1!D24</f>
        <v>4371</v>
      </c>
      <c r="G26" s="12">
        <f t="shared" si="1"/>
        <v>13342</v>
      </c>
      <c r="H26" s="2">
        <f>Sheet1!N24</f>
        <v>102037</v>
      </c>
      <c r="I26" s="12">
        <v>41000</v>
      </c>
      <c r="J26">
        <f>Sheet2!J23</f>
        <v>28536</v>
      </c>
      <c r="K26">
        <f>Sheet2!P23</f>
        <v>41878</v>
      </c>
      <c r="L26">
        <f>Sheet1!T24</f>
        <v>0.10368151638377328</v>
      </c>
      <c r="M26">
        <f>Sheet2!Q23</f>
        <v>0.68140789913558431</v>
      </c>
      <c r="N26">
        <f>M26/R26</f>
        <v>3.908170746363258</v>
      </c>
      <c r="O26">
        <f t="shared" si="0"/>
        <v>6.9330140796175872</v>
      </c>
      <c r="P26">
        <f>1/(1+N26)</f>
        <v>0.20374189319737029</v>
      </c>
      <c r="Q26">
        <f t="shared" si="3"/>
        <v>1914</v>
      </c>
      <c r="R26">
        <f>Sheet1!AF24</f>
        <v>0.17435469004768211</v>
      </c>
      <c r="S26">
        <f>1-M26-R26</f>
        <v>0.14423741081673358</v>
      </c>
      <c r="T26">
        <f>1-(O26/(O26-1))^(-O26)</f>
        <v>0.66037124411309622</v>
      </c>
      <c r="U26">
        <f>(O26/(O26-1))^(-2.63)</f>
        <v>0.66387936599098385</v>
      </c>
      <c r="V26">
        <f>(O26/(O26-1))^(-3)</f>
        <v>0.62670028237247288</v>
      </c>
      <c r="W26">
        <f>(O26/(O26-1))^(-2)</f>
        <v>0.73232960904564792</v>
      </c>
      <c r="X26">
        <f t="shared" si="4"/>
        <v>0.33612063400901615</v>
      </c>
      <c r="Y26">
        <f t="shared" si="5"/>
        <v>0.37329971762752712</v>
      </c>
      <c r="Z26">
        <f t="shared" si="6"/>
        <v>0.26767039095435208</v>
      </c>
      <c r="AA26">
        <f>((O26-1)/O26)^(-3) -1</f>
        <v>0.59565908637274245</v>
      </c>
      <c r="AB26">
        <f>((O26-1)/O26)^(-2.63) -1</f>
        <v>0.50629775713435965</v>
      </c>
      <c r="AC26">
        <f>((O26-1)/O26)^(-2) -1</f>
        <v>0.36550535120814343</v>
      </c>
    </row>
    <row r="27" spans="1:29" x14ac:dyDescent="0.3">
      <c r="A27">
        <f t="shared" si="2"/>
        <v>1915</v>
      </c>
      <c r="B27" s="2">
        <f>Sheet1!B25</f>
        <v>85522</v>
      </c>
      <c r="C27" s="2">
        <f>Sheet1!F25</f>
        <v>70913</v>
      </c>
      <c r="D27" s="2">
        <f>Sheet1!G25</f>
        <v>570</v>
      </c>
      <c r="E27" s="2">
        <f>Sheet1!O25</f>
        <v>12049</v>
      </c>
      <c r="F27" s="2">
        <f>Sheet1!D25</f>
        <v>5985</v>
      </c>
      <c r="G27" s="12">
        <f t="shared" si="1"/>
        <v>14609</v>
      </c>
      <c r="H27" s="2">
        <f>Sheet1!N25</f>
        <v>106790</v>
      </c>
      <c r="I27" s="12">
        <v>51000</v>
      </c>
      <c r="J27">
        <f>Sheet2!J24</f>
        <v>33711</v>
      </c>
      <c r="K27">
        <f>Sheet2!P24</f>
        <v>48320</v>
      </c>
      <c r="L27">
        <f>Sheet1!T25</f>
        <v>0.10190926604565351</v>
      </c>
      <c r="M27">
        <f>Sheet2!Q24</f>
        <v>0.69766142384105956</v>
      </c>
      <c r="N27">
        <f>M27/R27</f>
        <v>3.8919970981356382</v>
      </c>
      <c r="O27">
        <f t="shared" si="0"/>
        <v>8.1245859854243125</v>
      </c>
      <c r="P27">
        <f>1/(1+N27)</f>
        <v>0.20441549329232114</v>
      </c>
      <c r="Q27">
        <f t="shared" si="3"/>
        <v>1915</v>
      </c>
      <c r="R27">
        <f>Sheet1!AF25</f>
        <v>0.17925538129903962</v>
      </c>
      <c r="S27">
        <f>1-M27-R27</f>
        <v>0.12308319485990082</v>
      </c>
      <c r="T27">
        <f>1-(O27/(O27-1))^(-O27)</f>
        <v>0.65599832390238721</v>
      </c>
      <c r="U27">
        <f>(O27/(O27-1))^(-2.63)</f>
        <v>0.70791411769611101</v>
      </c>
      <c r="V27">
        <f>(O27/(O27-1))^(-3)</f>
        <v>0.6743341884713856</v>
      </c>
      <c r="W27">
        <f>(O27/(O27-1))^(-2)</f>
        <v>0.76898308313711883</v>
      </c>
      <c r="X27">
        <f t="shared" si="4"/>
        <v>0.29208588230388899</v>
      </c>
      <c r="Y27">
        <f t="shared" si="5"/>
        <v>0.3256658115286144</v>
      </c>
      <c r="Z27">
        <f t="shared" si="6"/>
        <v>0.23101691686288117</v>
      </c>
      <c r="AA27">
        <f>((O27-1)/O27)^(-3) -1</f>
        <v>0.48294423906765016</v>
      </c>
      <c r="AB27">
        <f>((O27-1)/O27)^(-2.63) -1</f>
        <v>0.4126007307983568</v>
      </c>
      <c r="AC27">
        <f>((O27-1)/O27)^(-2) -1</f>
        <v>0.3004187243241192</v>
      </c>
    </row>
    <row r="28" spans="1:29" x14ac:dyDescent="0.3">
      <c r="A28">
        <f t="shared" si="2"/>
        <v>1916</v>
      </c>
      <c r="B28" s="2">
        <f>Sheet1!B26</f>
        <v>134242</v>
      </c>
      <c r="C28" s="2">
        <f>Sheet1!F26</f>
        <v>110120</v>
      </c>
      <c r="D28" s="2">
        <f>Sheet1!G26</f>
        <v>571</v>
      </c>
      <c r="E28" s="2">
        <f>Sheet1!O26</f>
        <v>12048</v>
      </c>
      <c r="F28" s="2">
        <f>Sheet1!D26</f>
        <v>8828</v>
      </c>
      <c r="G28" s="12">
        <f t="shared" si="1"/>
        <v>24122</v>
      </c>
      <c r="H28" s="2">
        <f>Sheet1!N26</f>
        <v>117234</v>
      </c>
      <c r="I28" s="12">
        <v>67000</v>
      </c>
      <c r="J28">
        <f>Sheet2!J25</f>
        <v>50317</v>
      </c>
      <c r="K28">
        <f>Sheet2!P25</f>
        <v>74439</v>
      </c>
      <c r="L28">
        <f>Sheet1!T26</f>
        <v>0.1122224425373161</v>
      </c>
      <c r="M28">
        <f>Sheet2!Q25</f>
        <v>0.6759494351079407</v>
      </c>
      <c r="N28">
        <f>M28/R28</f>
        <v>4.4673146926495768</v>
      </c>
      <c r="O28">
        <f t="shared" si="0"/>
        <v>5.7890285589513537</v>
      </c>
      <c r="P28">
        <f>1/(1+N28)</f>
        <v>0.1829051474473255</v>
      </c>
      <c r="Q28">
        <f t="shared" si="3"/>
        <v>1916</v>
      </c>
      <c r="R28">
        <f>Sheet1!AF26</f>
        <v>0.15131001096030539</v>
      </c>
      <c r="S28">
        <f>1-M28-R28</f>
        <v>0.17274055393175392</v>
      </c>
      <c r="T28">
        <f>1-(O28/(O28-1))^(-O28)</f>
        <v>0.66640030030944097</v>
      </c>
      <c r="U28">
        <f>(O28/(O28-1))^(-2.63)</f>
        <v>0.60729228326433216</v>
      </c>
      <c r="V28">
        <f>(O28/(O28-1))^(-3)</f>
        <v>0.56614177808921529</v>
      </c>
      <c r="W28">
        <f>(O28/(O28-1))^(-2)</f>
        <v>0.68435819110914142</v>
      </c>
      <c r="X28">
        <f t="shared" si="4"/>
        <v>0.39270771673566784</v>
      </c>
      <c r="Y28">
        <f t="shared" si="5"/>
        <v>0.43385822191078471</v>
      </c>
      <c r="Z28">
        <f t="shared" si="6"/>
        <v>0.31564180889085858</v>
      </c>
      <c r="AA28">
        <f>((O28-1)/O28)^(-3) -1</f>
        <v>0.76634199895139243</v>
      </c>
      <c r="AB28">
        <f>((O28-1)/O28)^(-2.63) -1</f>
        <v>0.64665355967438942</v>
      </c>
      <c r="AC28">
        <f>((O28-1)/O28)^(-2) -1</f>
        <v>0.4612231036196075</v>
      </c>
    </row>
    <row r="29" spans="1:29" x14ac:dyDescent="0.3">
      <c r="A29">
        <f t="shared" si="2"/>
        <v>1917</v>
      </c>
      <c r="B29" s="2">
        <f>Sheet1!B27</f>
        <v>196926</v>
      </c>
      <c r="C29" s="2">
        <f>Sheet1!F27</f>
        <v>154634</v>
      </c>
      <c r="D29" s="2">
        <f>Sheet1!G27</f>
        <v>1113</v>
      </c>
      <c r="E29" s="2">
        <f>Sheet1!O27</f>
        <v>27306</v>
      </c>
      <c r="F29" s="2">
        <f>Sheet1!D27</f>
        <v>13288</v>
      </c>
      <c r="G29" s="12">
        <f t="shared" si="1"/>
        <v>42292</v>
      </c>
      <c r="H29" s="2">
        <f>Sheet1!N27</f>
        <v>179417</v>
      </c>
      <c r="I29" s="12">
        <v>73000</v>
      </c>
      <c r="J29">
        <f>Sheet2!J26</f>
        <v>64459</v>
      </c>
      <c r="K29">
        <f>Sheet2!P26</f>
        <v>106751</v>
      </c>
      <c r="L29">
        <f>Sheet1!T27</f>
        <v>0.11555524632112534</v>
      </c>
      <c r="M29">
        <f>Sheet2!Q26</f>
        <v>0.6038257252859458</v>
      </c>
      <c r="N29">
        <f>M29/R29</f>
        <v>3.7375447475655457</v>
      </c>
      <c r="O29">
        <f t="shared" si="0"/>
        <v>4.2622568973424988</v>
      </c>
      <c r="P29">
        <f>1/(1+N29)</f>
        <v>0.21107980046285879</v>
      </c>
      <c r="Q29">
        <f t="shared" si="3"/>
        <v>1917</v>
      </c>
      <c r="R29">
        <f>Sheet1!AF27</f>
        <v>0.16155678823089634</v>
      </c>
      <c r="S29">
        <f>1-M29-R29</f>
        <v>0.23461748648315786</v>
      </c>
      <c r="T29">
        <f>1-(O29/(O29-1))^(-O29)</f>
        <v>0.68006593191590592</v>
      </c>
      <c r="U29">
        <f>(O29/(O29-1))^(-2.63)</f>
        <v>0.49499470029117004</v>
      </c>
      <c r="V29">
        <f>(O29/(O29-1))^(-3)</f>
        <v>0.44836903027122516</v>
      </c>
      <c r="W29">
        <f>(O29/(O29-1))^(-2)</f>
        <v>0.58581039199735896</v>
      </c>
      <c r="X29">
        <f t="shared" si="4"/>
        <v>0.5050052997088299</v>
      </c>
      <c r="Y29">
        <f t="shared" si="5"/>
        <v>0.5516309697287749</v>
      </c>
      <c r="Z29">
        <f t="shared" si="6"/>
        <v>0.41418960800264104</v>
      </c>
      <c r="AA29">
        <f>((O29-1)/O29)^(-3) -1</f>
        <v>1.2303056912630312</v>
      </c>
      <c r="AB29">
        <f>((O29-1)/O29)^(-2.63) -1</f>
        <v>1.0202236496911401</v>
      </c>
      <c r="AC29">
        <f>((O29-1)/O29)^(-2) -1</f>
        <v>0.70703697588981695</v>
      </c>
    </row>
    <row r="30" spans="1:29" x14ac:dyDescent="0.3">
      <c r="A30">
        <f t="shared" si="2"/>
        <v>1918</v>
      </c>
      <c r="B30" s="2">
        <f>Sheet1!B28</f>
        <v>216815</v>
      </c>
      <c r="C30" s="2">
        <f>Sheet1!F28</f>
        <v>173216</v>
      </c>
      <c r="D30" s="2">
        <f>Sheet1!G28</f>
        <v>2377</v>
      </c>
      <c r="E30" s="2">
        <f>Sheet1!O28</f>
        <v>41334</v>
      </c>
      <c r="F30" s="2">
        <f>Sheet1!D28</f>
        <v>15224</v>
      </c>
      <c r="G30" s="12">
        <f t="shared" si="1"/>
        <v>43599</v>
      </c>
      <c r="H30" s="2">
        <f>Sheet1!N28</f>
        <v>197653</v>
      </c>
      <c r="I30" s="12">
        <v>72000</v>
      </c>
      <c r="J30">
        <f>Sheet2!J27</f>
        <v>79704</v>
      </c>
      <c r="K30">
        <f>Sheet2!P27</f>
        <v>123303</v>
      </c>
      <c r="L30">
        <f>Sheet1!T28</f>
        <v>0.11999106716432259</v>
      </c>
      <c r="M30">
        <f>Sheet2!Q27</f>
        <v>0.64640762998467194</v>
      </c>
      <c r="N30">
        <f>M30/R30</f>
        <v>3.7279207658555262</v>
      </c>
      <c r="O30">
        <f t="shared" si="0"/>
        <v>5.5495102866531996</v>
      </c>
      <c r="P30">
        <f>1/(1+N30)</f>
        <v>0.21150946674527193</v>
      </c>
      <c r="Q30">
        <f t="shared" si="3"/>
        <v>1918</v>
      </c>
      <c r="R30">
        <f>Sheet1!AF28</f>
        <v>0.17339628993866957</v>
      </c>
      <c r="S30">
        <f>1-M30-R30</f>
        <v>0.18019608007665849</v>
      </c>
      <c r="T30">
        <f>1-(O30/(O30-1))^(-O30)</f>
        <v>0.66800411169797114</v>
      </c>
      <c r="U30">
        <f>(O30/(O30-1))^(-2.63)</f>
        <v>0.59300352537193968</v>
      </c>
      <c r="V30">
        <f>(O30/(O30-1))^(-3)</f>
        <v>0.55097256184242094</v>
      </c>
      <c r="W30">
        <f>(O30/(O30-1))^(-2)</f>
        <v>0.6720784671216764</v>
      </c>
      <c r="X30">
        <f t="shared" si="4"/>
        <v>0.40699647462806032</v>
      </c>
      <c r="Y30">
        <f t="shared" si="5"/>
        <v>0.44902743815757906</v>
      </c>
      <c r="Z30">
        <f t="shared" si="6"/>
        <v>0.3279215328783236</v>
      </c>
      <c r="AA30">
        <f>((O30-1)/O30)^(-3) -1</f>
        <v>0.81497241288396838</v>
      </c>
      <c r="AB30">
        <f>((O30-1)/O30)^(-2.63) -1</f>
        <v>0.68633061561107378</v>
      </c>
      <c r="AC30">
        <f>((O30-1)/O30)^(-2) -1</f>
        <v>0.48792149863500245</v>
      </c>
    </row>
    <row r="31" spans="1:29" x14ac:dyDescent="0.3">
      <c r="A31">
        <f t="shared" si="2"/>
        <v>1919</v>
      </c>
      <c r="B31" s="2">
        <f>Sheet1!B29</f>
        <v>229980</v>
      </c>
      <c r="C31" s="2">
        <f>Sheet1!F29</f>
        <v>189167</v>
      </c>
      <c r="D31" s="2">
        <f>Sheet1!G29</f>
        <v>2277</v>
      </c>
      <c r="E31" s="2">
        <f>Sheet1!O29</f>
        <v>39979</v>
      </c>
      <c r="F31" s="2">
        <f>Sheet1!D29</f>
        <v>7689</v>
      </c>
      <c r="G31" s="12">
        <f t="shared" si="1"/>
        <v>40813</v>
      </c>
      <c r="H31" s="2">
        <f>Sheet1!N29</f>
        <v>206628</v>
      </c>
      <c r="I31" s="12">
        <v>76000</v>
      </c>
      <c r="J31">
        <f>Sheet2!J28</f>
        <v>98268</v>
      </c>
      <c r="K31">
        <f>Sheet2!P28</f>
        <v>139081</v>
      </c>
      <c r="L31">
        <f>Sheet1!T29</f>
        <v>0.12010529679058314</v>
      </c>
      <c r="M31">
        <f>Sheet2!Q28</f>
        <v>0.70655229686297916</v>
      </c>
      <c r="N31">
        <f>M31/R31</f>
        <v>6.7969974772034902</v>
      </c>
      <c r="O31">
        <f t="shared" si="0"/>
        <v>5.2771268814162413</v>
      </c>
      <c r="P31">
        <f>1/(1+N31)</f>
        <v>0.12825449834038744</v>
      </c>
      <c r="Q31">
        <f t="shared" si="3"/>
        <v>1919</v>
      </c>
      <c r="R31">
        <f>Sheet1!AF29</f>
        <v>0.10395064868461275</v>
      </c>
      <c r="S31">
        <f>1-M31-R31</f>
        <v>0.18949705445240811</v>
      </c>
      <c r="T31">
        <f>1-(O31/(O31-1))^(-O31)</f>
        <v>0.67002089998146663</v>
      </c>
      <c r="U31">
        <f>(O31/(O31-1))^(-2.63)</f>
        <v>0.57547252191821785</v>
      </c>
      <c r="V31">
        <f>(O31/(O31-1))^(-3)</f>
        <v>0.53243156252731139</v>
      </c>
      <c r="W31">
        <f>(O31/(O31-1))^(-2)</f>
        <v>0.65691502474132279</v>
      </c>
      <c r="X31">
        <f t="shared" si="4"/>
        <v>0.42452747808178215</v>
      </c>
      <c r="Y31">
        <f t="shared" si="5"/>
        <v>0.46756843747268861</v>
      </c>
      <c r="Z31">
        <f t="shared" si="6"/>
        <v>0.34308497525867721</v>
      </c>
      <c r="AA31">
        <f>((O31-1)/O31)^(-3) -1</f>
        <v>0.87817565745589032</v>
      </c>
      <c r="AB31">
        <f>((O31-1)/O31)^(-2.63) -1</f>
        <v>0.7377024304595956</v>
      </c>
      <c r="AC31">
        <f>((O31-1)/O31)^(-2) -1</f>
        <v>0.52226690262378428</v>
      </c>
    </row>
    <row r="32" spans="1:29" x14ac:dyDescent="0.3">
      <c r="A32">
        <f t="shared" si="2"/>
        <v>1920</v>
      </c>
      <c r="B32" s="2">
        <f>Sheet1!B30</f>
        <v>275758</v>
      </c>
      <c r="C32" s="2">
        <f>Sheet1!F30</f>
        <v>215915</v>
      </c>
      <c r="D32" s="2">
        <f>Sheet1!G30</f>
        <v>4288</v>
      </c>
      <c r="E32" s="2">
        <f>Sheet1!O30</f>
        <v>68478</v>
      </c>
      <c r="F32" s="2">
        <f>Sheet1!D30</f>
        <v>15579</v>
      </c>
      <c r="G32" s="12">
        <f t="shared" si="1"/>
        <v>59843</v>
      </c>
      <c r="H32" s="2">
        <f>Sheet1!N30</f>
        <v>275039</v>
      </c>
      <c r="I32" s="12">
        <v>87000</v>
      </c>
      <c r="J32">
        <f>Sheet2!J29</f>
        <v>137948.94</v>
      </c>
      <c r="K32">
        <f>Sheet2!P29</f>
        <v>197791.94</v>
      </c>
      <c r="L32">
        <f>Sheet1!T30</f>
        <v>0.12491930781684056</v>
      </c>
      <c r="M32">
        <f>Sheet2!Q29</f>
        <v>0.69744469870713643</v>
      </c>
      <c r="N32">
        <f>M32/R32</f>
        <v>5.7623909034465735</v>
      </c>
      <c r="O32">
        <f t="shared" si="0"/>
        <v>5.5089925751266264</v>
      </c>
      <c r="P32">
        <f>1/(1+N32)</f>
        <v>0.14787669247134649</v>
      </c>
      <c r="Q32">
        <f t="shared" si="3"/>
        <v>1920</v>
      </c>
      <c r="R32">
        <f>Sheet1!AF30</f>
        <v>0.12103390942984867</v>
      </c>
      <c r="S32">
        <f>1-M32-R32</f>
        <v>0.18152139186301491</v>
      </c>
      <c r="T32">
        <f>1-(O32/(O32-1))^(-O32)</f>
        <v>0.66829039736015527</v>
      </c>
      <c r="U32">
        <f>(O32/(O32-1))^(-2.63)</f>
        <v>0.59048556606079305</v>
      </c>
      <c r="V32">
        <f>(O32/(O32-1))^(-3)</f>
        <v>0.54830473881013619</v>
      </c>
      <c r="W32">
        <f>(O32/(O32-1))^(-2)</f>
        <v>0.66990723197785629</v>
      </c>
      <c r="X32">
        <f t="shared" si="4"/>
        <v>0.40951443393920695</v>
      </c>
      <c r="Y32">
        <f t="shared" si="5"/>
        <v>0.45169526118986381</v>
      </c>
      <c r="Z32">
        <f t="shared" si="6"/>
        <v>0.33009276802214371</v>
      </c>
      <c r="AA32">
        <f>((O32-1)/O32)^(-3) -1</f>
        <v>0.82380331450367827</v>
      </c>
      <c r="AB32">
        <f>((O32-1)/O32)^(-2.63) -1</f>
        <v>0.69352149735197033</v>
      </c>
      <c r="AC32">
        <f>((O32-1)/O32)^(-2) -1</f>
        <v>0.49274399837059057</v>
      </c>
    </row>
    <row r="33" spans="1:29" x14ac:dyDescent="0.3">
      <c r="A33">
        <f t="shared" si="2"/>
        <v>1921</v>
      </c>
      <c r="B33" s="2">
        <f>Sheet1!B31</f>
        <v>221008</v>
      </c>
      <c r="C33" s="2">
        <f>Sheet1!F31</f>
        <v>182845</v>
      </c>
      <c r="D33" s="2">
        <f>Sheet1!G31</f>
        <v>2803</v>
      </c>
      <c r="E33" s="2">
        <f>Sheet1!O31</f>
        <v>45229</v>
      </c>
      <c r="F33" s="2">
        <f>Sheet1!D31</f>
        <v>8487</v>
      </c>
      <c r="G33" s="12">
        <f t="shared" si="1"/>
        <v>38163</v>
      </c>
      <c r="H33" s="2">
        <f>Sheet1!N31</f>
        <v>225591</v>
      </c>
      <c r="I33" s="12">
        <v>57000</v>
      </c>
      <c r="J33">
        <f>Sheet2!J30</f>
        <v>82169.262000000002</v>
      </c>
      <c r="K33">
        <f>Sheet2!P30</f>
        <v>120332.262</v>
      </c>
      <c r="L33">
        <f>Sheet1!T31</f>
        <v>0.12273740873593528</v>
      </c>
      <c r="M33">
        <f>Sheet2!Q30</f>
        <v>0.68285313210517062</v>
      </c>
      <c r="N33">
        <f>M33/R33</f>
        <v>4.4733676768277872</v>
      </c>
      <c r="O33">
        <f t="shared" si="0"/>
        <v>6.0790898698343545</v>
      </c>
      <c r="P33">
        <f>1/(1+N33)</f>
        <v>0.18270287308371952</v>
      </c>
      <c r="Q33">
        <f t="shared" si="3"/>
        <v>1921</v>
      </c>
      <c r="R33">
        <f>Sheet1!AF31</f>
        <v>0.15264855952761841</v>
      </c>
      <c r="S33">
        <f>1-M33-R33</f>
        <v>0.16449830836721097</v>
      </c>
      <c r="T33">
        <f>1-(O33/(O33-1))^(-O33)</f>
        <v>0.66464033586083548</v>
      </c>
      <c r="U33">
        <f>(O33/(O33-1))^(-2.63)</f>
        <v>0.62333496294986168</v>
      </c>
      <c r="V33">
        <f>(O33/(O33-1))^(-3)</f>
        <v>0.58323288146699559</v>
      </c>
      <c r="W33">
        <f>(O33/(O33-1))^(-2)</f>
        <v>0.69806307672125212</v>
      </c>
      <c r="X33">
        <f t="shared" si="4"/>
        <v>0.37666503705013832</v>
      </c>
      <c r="Y33">
        <f t="shared" si="5"/>
        <v>0.41676711853300441</v>
      </c>
      <c r="Z33">
        <f t="shared" si="6"/>
        <v>0.30193692327874788</v>
      </c>
      <c r="AA33">
        <f>((O33-1)/O33)^(-3) -1</f>
        <v>0.71458097061454606</v>
      </c>
      <c r="AB33">
        <f>((O33-1)/O33)^(-2.63) -1</f>
        <v>0.60427388071994836</v>
      </c>
      <c r="AC33">
        <f>((O33-1)/O33)^(-2) -1</f>
        <v>0.43253530138984275</v>
      </c>
    </row>
    <row r="34" spans="1:29" x14ac:dyDescent="0.3">
      <c r="A34">
        <f t="shared" si="2"/>
        <v>1922</v>
      </c>
      <c r="B34" s="2">
        <f>Sheet1!B32</f>
        <v>200194</v>
      </c>
      <c r="C34" s="2">
        <f>Sheet1!F32</f>
        <v>157071</v>
      </c>
      <c r="D34" s="2">
        <f>Sheet1!G32</f>
        <v>2561</v>
      </c>
      <c r="E34" s="2">
        <f>Sheet1!O32</f>
        <v>42765</v>
      </c>
      <c r="F34" s="2">
        <f>Sheet1!D32</f>
        <v>12119</v>
      </c>
      <c r="G34" s="12">
        <f t="shared" si="1"/>
        <v>43123</v>
      </c>
      <c r="H34" s="2">
        <f>Sheet1!N32</f>
        <v>223373</v>
      </c>
      <c r="I34" s="12">
        <v>66000</v>
      </c>
      <c r="J34">
        <f>Sheet2!J31</f>
        <v>93823.224000000002</v>
      </c>
      <c r="K34">
        <f>Sheet2!P31</f>
        <v>136946.22399999999</v>
      </c>
      <c r="L34">
        <f>Sheet1!T32</f>
        <v>0.11517628272132789</v>
      </c>
      <c r="M34">
        <f>Sheet2!Q31</f>
        <v>0.68510997426259823</v>
      </c>
      <c r="N34">
        <f>M34/R34</f>
        <v>5.1512338736222674</v>
      </c>
      <c r="O34">
        <f t="shared" si="0"/>
        <v>5.4978033407399973</v>
      </c>
      <c r="P34">
        <f>1/(1+N34)</f>
        <v>0.16256900981902214</v>
      </c>
      <c r="Q34">
        <f t="shared" si="3"/>
        <v>1922</v>
      </c>
      <c r="R34">
        <f>Sheet1!AF32</f>
        <v>0.13299919806996446</v>
      </c>
      <c r="S34">
        <f>1-M34-R34</f>
        <v>0.1818908276674373</v>
      </c>
      <c r="T34">
        <f>1-(O34/(O34-1))^(-O34)</f>
        <v>0.66837026487548434</v>
      </c>
      <c r="U34">
        <f>(O34/(O34-1))^(-2.63)</f>
        <v>0.58978485833060723</v>
      </c>
      <c r="V34">
        <f>(O34/(O34-1))^(-3)</f>
        <v>0.5475626107331022</v>
      </c>
      <c r="W34">
        <f>(O34/(O34-1))^(-2)</f>
        <v>0.66930261785467071</v>
      </c>
      <c r="X34">
        <f t="shared" si="4"/>
        <v>0.41021514166939277</v>
      </c>
      <c r="Y34">
        <f t="shared" si="5"/>
        <v>0.4524373892668978</v>
      </c>
      <c r="Z34">
        <f t="shared" si="6"/>
        <v>0.33069738214532929</v>
      </c>
      <c r="AA34">
        <f>((O34-1)/O34)^(-3) -1</f>
        <v>0.82627516999590944</v>
      </c>
      <c r="AB34">
        <f>((O34-1)/O34)^(-2.63) -1</f>
        <v>0.69553352527650736</v>
      </c>
      <c r="AC34">
        <f>((O34-1)/O34)^(-2) -1</f>
        <v>0.49409246777686344</v>
      </c>
    </row>
    <row r="35" spans="1:29" x14ac:dyDescent="0.3">
      <c r="A35">
        <f t="shared" si="2"/>
        <v>1923</v>
      </c>
      <c r="B35" s="2">
        <f>Sheet1!B33</f>
        <v>271310</v>
      </c>
      <c r="C35" s="2">
        <f>Sheet1!F33</f>
        <v>221276</v>
      </c>
      <c r="D35" s="2">
        <f>Sheet1!G33</f>
        <v>2009</v>
      </c>
      <c r="E35" s="2">
        <f>Sheet1!O33</f>
        <v>28414</v>
      </c>
      <c r="F35" s="2">
        <f>Sheet1!D33</f>
        <v>9442</v>
      </c>
      <c r="G35" s="12">
        <f t="shared" si="1"/>
        <v>50034</v>
      </c>
      <c r="H35" s="2">
        <f>Sheet1!N33</f>
        <v>238748</v>
      </c>
      <c r="I35" s="12">
        <v>76000</v>
      </c>
      <c r="J35">
        <f>Sheet2!J32</f>
        <v>122195.68799999999</v>
      </c>
      <c r="K35">
        <f>Sheet2!P32</f>
        <v>172229.68799999999</v>
      </c>
      <c r="L35">
        <f>Sheet1!T33</f>
        <v>8.8258867894533188E-2</v>
      </c>
      <c r="M35">
        <f>Sheet2!Q32</f>
        <v>0.70949259340236392</v>
      </c>
      <c r="N35">
        <f>M35/R35</f>
        <v>6.9946112031338155</v>
      </c>
      <c r="O35">
        <f t="shared" si="0"/>
        <v>5.288955892016916</v>
      </c>
      <c r="P35">
        <f>1/(1+N35)</f>
        <v>0.12508425670631851</v>
      </c>
      <c r="Q35">
        <f t="shared" si="3"/>
        <v>1923</v>
      </c>
      <c r="R35">
        <f>Sheet1!AF33</f>
        <v>0.10143417164981064</v>
      </c>
      <c r="S35">
        <f>1-M35-R35</f>
        <v>0.18907323494782544</v>
      </c>
      <c r="T35">
        <f>1-(O35/(O35-1))^(-O35)</f>
        <v>0.66992861089288791</v>
      </c>
      <c r="U35">
        <f>(O35/(O35-1))^(-2.63)</f>
        <v>0.57626427861711971</v>
      </c>
      <c r="V35">
        <f>(O35/(O35-1))^(-3)</f>
        <v>0.53326723955930022</v>
      </c>
      <c r="W35">
        <f>(O35/(O35-1))^(-2)</f>
        <v>0.65760221827798482</v>
      </c>
      <c r="X35">
        <f t="shared" si="4"/>
        <v>0.42373572138288029</v>
      </c>
      <c r="Y35">
        <f t="shared" si="5"/>
        <v>0.46673276044069978</v>
      </c>
      <c r="Z35">
        <f t="shared" si="6"/>
        <v>0.34239778172201518</v>
      </c>
      <c r="AA35">
        <f>((O35-1)/O35)^(-3) -1</f>
        <v>0.87523238972342399</v>
      </c>
      <c r="AB35">
        <f>((O35-1)/O35)^(-2.63) -1</f>
        <v>0.73531491905021951</v>
      </c>
      <c r="AC35">
        <f>((O35-1)/O35)^(-2) -1</f>
        <v>0.52067613551947489</v>
      </c>
    </row>
    <row r="36" spans="1:29" x14ac:dyDescent="0.3">
      <c r="A36">
        <f t="shared" si="2"/>
        <v>1924</v>
      </c>
      <c r="B36" s="2">
        <f>Sheet1!B34</f>
        <v>299252</v>
      </c>
      <c r="C36" s="2">
        <f>Sheet1!F34</f>
        <v>238808</v>
      </c>
      <c r="D36" s="2">
        <f>Sheet1!G34</f>
        <v>1249</v>
      </c>
      <c r="E36" s="2">
        <f>Sheet1!O34</f>
        <v>20928</v>
      </c>
      <c r="F36" s="2">
        <f>Sheet1!D34</f>
        <v>13507</v>
      </c>
      <c r="G36" s="12">
        <f t="shared" si="1"/>
        <v>60444</v>
      </c>
      <c r="H36" s="2">
        <f>Sheet1!N34</f>
        <v>255569</v>
      </c>
      <c r="I36" s="12">
        <v>73500</v>
      </c>
      <c r="J36">
        <f>Sheet2!J33</f>
        <v>121456.25099999999</v>
      </c>
      <c r="K36">
        <f>Sheet2!P33</f>
        <v>181900.25099999999</v>
      </c>
      <c r="L36">
        <f>Sheet1!T34</f>
        <v>7.0619123754484536E-2</v>
      </c>
      <c r="M36">
        <f>Sheet2!Q33</f>
        <v>0.66770799013355953</v>
      </c>
      <c r="N36">
        <f>M36/R36</f>
        <v>5.3630087003894058</v>
      </c>
      <c r="O36">
        <f t="shared" si="0"/>
        <v>4.8125624826600042</v>
      </c>
      <c r="P36">
        <f>1/(1+N36)</f>
        <v>0.15715835811112464</v>
      </c>
      <c r="Q36">
        <f t="shared" si="3"/>
        <v>1924</v>
      </c>
      <c r="R36">
        <f>Sheet1!AF34</f>
        <v>0.12450249989060758</v>
      </c>
      <c r="S36">
        <f>1-M36-R36</f>
        <v>0.2077895099758329</v>
      </c>
      <c r="T36">
        <f>1-(O36/(O36-1))^(-O36)</f>
        <v>0.67404022234489247</v>
      </c>
      <c r="U36">
        <f>(O36/(O36-1))^(-2.63)</f>
        <v>0.54193942791260863</v>
      </c>
      <c r="V36">
        <f>(O36/(O36-1))^(-3)</f>
        <v>0.49718929172405885</v>
      </c>
      <c r="W36">
        <f>(O36/(O36-1))^(-2)</f>
        <v>0.62759746050433096</v>
      </c>
      <c r="X36">
        <f t="shared" si="4"/>
        <v>0.45806057208739137</v>
      </c>
      <c r="Y36">
        <f t="shared" si="5"/>
        <v>0.50281070827594121</v>
      </c>
      <c r="Z36">
        <f t="shared" si="6"/>
        <v>0.37240253949566904</v>
      </c>
      <c r="AA36">
        <f>((O36-1)/O36)^(-3) -1</f>
        <v>1.0113063910374844</v>
      </c>
      <c r="AB36">
        <f>((O36-1)/O36)^(-2.63) -1</f>
        <v>0.84522466625413473</v>
      </c>
      <c r="AC36">
        <f>((O36-1)/O36)^(-2) -1</f>
        <v>0.59337802163254483</v>
      </c>
    </row>
    <row r="37" spans="1:29" x14ac:dyDescent="0.3">
      <c r="A37">
        <f t="shared" si="2"/>
        <v>1925</v>
      </c>
      <c r="B37" s="2">
        <f>Sheet1!B35</f>
        <v>290290</v>
      </c>
      <c r="C37" s="2">
        <f>Sheet1!F35</f>
        <v>232467</v>
      </c>
      <c r="D37" s="2">
        <f>Sheet1!G35</f>
        <v>1176</v>
      </c>
      <c r="E37" s="2">
        <f>Sheet1!O35</f>
        <v>15592</v>
      </c>
      <c r="F37" s="2">
        <f>Sheet1!D35</f>
        <v>11806</v>
      </c>
      <c r="G37" s="12">
        <f t="shared" si="1"/>
        <v>57823</v>
      </c>
      <c r="H37" s="2">
        <f>Sheet1!N35</f>
        <v>245558</v>
      </c>
      <c r="I37" s="12">
        <v>71000</v>
      </c>
      <c r="J37">
        <f>Sheet2!J34</f>
        <v>120451.49999999999</v>
      </c>
      <c r="K37">
        <f>Sheet2!P34</f>
        <v>178274.5</v>
      </c>
      <c r="L37">
        <f>Sheet1!T35</f>
        <v>7.1650334062343252E-2</v>
      </c>
      <c r="M37">
        <f>Sheet2!Q34</f>
        <v>0.6756518739359807</v>
      </c>
      <c r="N37">
        <f>M37/R37</f>
        <v>6.4561826818431545</v>
      </c>
      <c r="O37">
        <f t="shared" si="0"/>
        <v>4.551739832034654</v>
      </c>
      <c r="P37">
        <f>1/(1+N37)</f>
        <v>0.13411688563306523</v>
      </c>
      <c r="Q37">
        <f t="shared" si="3"/>
        <v>1925</v>
      </c>
      <c r="R37">
        <f>Sheet1!AF35</f>
        <v>0.10465191386794698</v>
      </c>
      <c r="S37">
        <f>1-M37-R37</f>
        <v>0.21969621219607233</v>
      </c>
      <c r="T37">
        <f>1-(O37/(O37-1))^(-O37)</f>
        <v>0.67669497057173644</v>
      </c>
      <c r="U37">
        <f>(O37/(O37-1))^(-2.63)</f>
        <v>0.52077912877183641</v>
      </c>
      <c r="V37">
        <f>(O37/(O37-1))^(-3)</f>
        <v>0.47510668947941415</v>
      </c>
      <c r="W37">
        <f>(O37/(O37-1))^(-2)</f>
        <v>0.60887400126115698</v>
      </c>
      <c r="X37">
        <f t="shared" si="4"/>
        <v>0.47922087122816359</v>
      </c>
      <c r="Y37">
        <f t="shared" si="5"/>
        <v>0.52489331052058585</v>
      </c>
      <c r="Z37">
        <f t="shared" si="6"/>
        <v>0.39112599873884302</v>
      </c>
      <c r="AA37">
        <f>((O37-1)/O37)^(-3) -1</f>
        <v>1.1047904021215196</v>
      </c>
      <c r="AB37">
        <f>((O37-1)/O37)^(-2.63) -1</f>
        <v>0.92019984049345349</v>
      </c>
      <c r="AC37">
        <f>((O37-1)/O37)^(-2) -1</f>
        <v>0.6423759233087738</v>
      </c>
    </row>
    <row r="38" spans="1:29" x14ac:dyDescent="0.3">
      <c r="A38">
        <f t="shared" si="2"/>
        <v>1926</v>
      </c>
      <c r="B38" s="2">
        <f>Sheet1!B36</f>
        <v>326974</v>
      </c>
      <c r="C38" s="2">
        <f>Sheet1!F36</f>
        <v>259885</v>
      </c>
      <c r="D38" s="2">
        <f>Sheet1!G36</f>
        <v>437</v>
      </c>
      <c r="E38" s="2">
        <f>Sheet1!O36</f>
        <v>6243</v>
      </c>
      <c r="F38" s="2">
        <f>Sheet1!D36</f>
        <v>14411</v>
      </c>
      <c r="G38" s="12">
        <f t="shared" si="1"/>
        <v>67089</v>
      </c>
      <c r="H38" s="2">
        <f>Sheet1!N36</f>
        <v>260323</v>
      </c>
      <c r="I38" s="12">
        <v>75700</v>
      </c>
      <c r="J38">
        <f>Sheet2!J35</f>
        <v>132068.64239999998</v>
      </c>
      <c r="K38">
        <f>Sheet2!P35</f>
        <v>199157.64239999998</v>
      </c>
      <c r="L38">
        <f>Sheet1!T36</f>
        <v>9.4111846794026816E-2</v>
      </c>
      <c r="M38">
        <f>Sheet2!Q35</f>
        <v>0.66313620109413385</v>
      </c>
      <c r="N38">
        <f>M38/R38</f>
        <v>6.5382419511414378</v>
      </c>
      <c r="O38">
        <f t="shared" si="0"/>
        <v>4.2473745356386301</v>
      </c>
      <c r="P38">
        <f>1/(1+N38)</f>
        <v>0.13265692537881202</v>
      </c>
      <c r="Q38">
        <f t="shared" si="3"/>
        <v>1926</v>
      </c>
      <c r="R38">
        <f>Sheet1!AF36</f>
        <v>0.10142423698137454</v>
      </c>
      <c r="S38">
        <f>1-M38-R38</f>
        <v>0.23543956192449161</v>
      </c>
      <c r="T38">
        <f>1-(O38/(O38-1))^(-O38)</f>
        <v>0.68025310123684446</v>
      </c>
      <c r="U38">
        <f>(O38/(O38-1))^(-2.63)</f>
        <v>0.49359765917521875</v>
      </c>
      <c r="V38">
        <f>(O38/(O38-1))^(-3)</f>
        <v>0.44692584046099143</v>
      </c>
      <c r="W38">
        <f>(O38/(O38-1))^(-2)</f>
        <v>0.58455266347021329</v>
      </c>
      <c r="X38">
        <f t="shared" si="4"/>
        <v>0.50640234082478131</v>
      </c>
      <c r="Y38">
        <f t="shared" si="5"/>
        <v>0.55307415953900851</v>
      </c>
      <c r="Z38">
        <f t="shared" si="6"/>
        <v>0.41544733652978671</v>
      </c>
      <c r="AA38">
        <f>((O38-1)/O38)^(-3) -1</f>
        <v>1.2375076790559429</v>
      </c>
      <c r="AB38">
        <f>((O38-1)/O38)^(-2.63) -1</f>
        <v>1.0259415364144115</v>
      </c>
      <c r="AC38">
        <f>((O38-1)/O38)^(-2) -1</f>
        <v>0.71070985129632591</v>
      </c>
    </row>
    <row r="39" spans="1:29" x14ac:dyDescent="0.3">
      <c r="A39">
        <f t="shared" si="2"/>
        <v>1927</v>
      </c>
      <c r="B39" s="2">
        <f>Sheet1!B37</f>
        <v>312604</v>
      </c>
      <c r="C39" s="2">
        <f>Sheet1!F37</f>
        <v>252400</v>
      </c>
      <c r="D39" s="2">
        <f>Sheet1!G37</f>
        <v>284</v>
      </c>
      <c r="E39" s="2">
        <f>Sheet1!O37</f>
        <v>4057</v>
      </c>
      <c r="F39" s="2">
        <f>Sheet1!D37</f>
        <v>11482</v>
      </c>
      <c r="G39" s="12">
        <f t="shared" si="1"/>
        <v>60204</v>
      </c>
      <c r="H39" s="2">
        <f>Sheet1!N37</f>
        <v>235480</v>
      </c>
      <c r="I39" s="12">
        <v>72981</v>
      </c>
      <c r="J39">
        <f>Sheet2!J36</f>
        <v>130781.952</v>
      </c>
      <c r="K39">
        <f>Sheet2!P36</f>
        <v>190985.95199999999</v>
      </c>
      <c r="L39">
        <f>Sheet1!T37</f>
        <v>9.7996627930673721E-2</v>
      </c>
      <c r="M39">
        <f>Sheet2!Q36</f>
        <v>0.68477262662753335</v>
      </c>
      <c r="N39">
        <f>M39/R39</f>
        <v>7.4703833778966215</v>
      </c>
      <c r="O39">
        <f t="shared" si="0"/>
        <v>4.4730244431181667</v>
      </c>
      <c r="P39">
        <f>1/(1+N39)</f>
        <v>0.11805841074555018</v>
      </c>
      <c r="Q39">
        <f t="shared" si="3"/>
        <v>1927</v>
      </c>
      <c r="R39">
        <f>Sheet1!AF37</f>
        <v>9.1664991204285354E-2</v>
      </c>
      <c r="S39">
        <f>1-M39-R39</f>
        <v>0.22356238216818131</v>
      </c>
      <c r="T39">
        <f>1-(O39/(O39-1))^(-O39)</f>
        <v>0.67756365120226669</v>
      </c>
      <c r="U39">
        <f>(O39/(O39-1))^(-2.63)</f>
        <v>0.51402030512960262</v>
      </c>
      <c r="V39">
        <f>(O39/(O39-1))^(-3)</f>
        <v>0.46807959078409334</v>
      </c>
      <c r="W39">
        <f>(O39/(O39-1))^(-2)</f>
        <v>0.60285537438434933</v>
      </c>
      <c r="X39">
        <f t="shared" si="4"/>
        <v>0.48597969487039738</v>
      </c>
      <c r="Y39">
        <f t="shared" si="5"/>
        <v>0.53192040921590666</v>
      </c>
      <c r="Z39">
        <f t="shared" si="6"/>
        <v>0.39714462561565067</v>
      </c>
      <c r="AA39">
        <f>((O39-1)/O39)^(-3) -1</f>
        <v>1.1363888101270812</v>
      </c>
      <c r="AB39">
        <f>((O39-1)/O39)^(-2.63) -1</f>
        <v>0.94544843855509719</v>
      </c>
      <c r="AC39">
        <f>((O39-1)/O39)^(-2) -1</f>
        <v>0.65877263849762424</v>
      </c>
    </row>
    <row r="40" spans="1:29" x14ac:dyDescent="0.3">
      <c r="A40">
        <f t="shared" si="2"/>
        <v>1928</v>
      </c>
      <c r="B40" s="2">
        <f>Sheet1!B38</f>
        <v>337189</v>
      </c>
      <c r="C40" s="2">
        <f>Sheet1!F38</f>
        <v>277484</v>
      </c>
      <c r="D40" s="2">
        <f>Sheet1!G38</f>
        <v>322</v>
      </c>
      <c r="E40" s="2">
        <f>Sheet1!O38</f>
        <v>4600</v>
      </c>
      <c r="F40" s="2">
        <f>Sheet1!D38</f>
        <v>10373</v>
      </c>
      <c r="G40" s="12">
        <f t="shared" si="1"/>
        <v>59705</v>
      </c>
      <c r="H40" s="2">
        <f>Sheet1!N38</f>
        <v>218766</v>
      </c>
      <c r="I40" s="12">
        <v>73526</v>
      </c>
      <c r="J40">
        <f>Sheet2!J37</f>
        <v>134037.89799999999</v>
      </c>
      <c r="K40">
        <f>Sheet2!P37</f>
        <v>193742.89799999999</v>
      </c>
      <c r="L40">
        <f>Sheet1!T38</f>
        <v>9.115819754856358E-2</v>
      </c>
      <c r="M40">
        <f>Sheet2!Q37</f>
        <v>0.69183386531154289</v>
      </c>
      <c r="N40">
        <f>M40/R40</f>
        <v>8.3109049345938644</v>
      </c>
      <c r="O40">
        <f t="shared" si="0"/>
        <v>4.4459851856661947</v>
      </c>
      <c r="P40">
        <f>1/(1+N40)</f>
        <v>0.10740094620498017</v>
      </c>
      <c r="Q40">
        <f t="shared" si="3"/>
        <v>1928</v>
      </c>
      <c r="R40">
        <f>Sheet1!AF38</f>
        <v>8.3244107682161964E-2</v>
      </c>
      <c r="S40">
        <f>1-M40-R40</f>
        <v>0.22492202700629516</v>
      </c>
      <c r="T40">
        <f>1-(O40/(O40-1))^(-O40)</f>
        <v>0.67786993174656063</v>
      </c>
      <c r="U40">
        <f>(O40/(O40-1))^(-2.63)</f>
        <v>0.51165637353203219</v>
      </c>
      <c r="V40">
        <f>(O40/(O40-1))^(-3)</f>
        <v>0.46562488672401253</v>
      </c>
      <c r="W40">
        <f>(O40/(O40-1))^(-2)</f>
        <v>0.60074586422003029</v>
      </c>
      <c r="X40">
        <f t="shared" si="4"/>
        <v>0.48834362646796781</v>
      </c>
      <c r="Y40">
        <f t="shared" si="5"/>
        <v>0.53437511327598752</v>
      </c>
      <c r="Z40">
        <f t="shared" si="6"/>
        <v>0.39925413577996971</v>
      </c>
      <c r="AA40">
        <f>((O40-1)/O40)^(-3) -1</f>
        <v>1.1476515291862501</v>
      </c>
      <c r="AB40">
        <f>((O40-1)/O40)^(-2.63) -1</f>
        <v>0.95443671129681551</v>
      </c>
      <c r="AC40">
        <f>((O40-1)/O40)^(-2) -1</f>
        <v>0.66459739393850925</v>
      </c>
    </row>
    <row r="41" spans="1:29" x14ac:dyDescent="0.3">
      <c r="A41">
        <f t="shared" si="2"/>
        <v>1929</v>
      </c>
      <c r="B41" s="2">
        <f>Sheet1!B39</f>
        <v>415338</v>
      </c>
      <c r="C41" s="2">
        <f>Sheet1!F39</f>
        <v>345115</v>
      </c>
      <c r="D41" s="2">
        <f>Sheet1!G39</f>
        <v>451</v>
      </c>
      <c r="E41" s="2">
        <f>Sheet1!O39</f>
        <v>6443</v>
      </c>
      <c r="F41" s="2">
        <f>Sheet1!D39</f>
        <v>5303</v>
      </c>
      <c r="G41" s="12">
        <f t="shared" si="1"/>
        <v>70223</v>
      </c>
      <c r="H41" s="2">
        <f>Sheet1!N39</f>
        <v>249174</v>
      </c>
      <c r="I41" s="12">
        <v>87933</v>
      </c>
      <c r="J41">
        <f>Sheet2!J38</f>
        <v>163115.715</v>
      </c>
      <c r="K41">
        <f>Sheet2!P38</f>
        <v>233338.715</v>
      </c>
      <c r="L41">
        <f>Sheet1!T39</f>
        <v>9.589785448726211E-2</v>
      </c>
      <c r="M41">
        <f>Sheet2!Q38</f>
        <v>0.69905122688277421</v>
      </c>
      <c r="N41">
        <f>M41/R41</f>
        <v>13.713414531250868</v>
      </c>
      <c r="O41">
        <f t="shared" si="0"/>
        <v>4.000431252026905</v>
      </c>
      <c r="P41">
        <f>1/(1+N41)</f>
        <v>6.7965189037257734E-2</v>
      </c>
      <c r="Q41">
        <f t="shared" si="3"/>
        <v>1929</v>
      </c>
      <c r="R41">
        <f>Sheet1!AF39</f>
        <v>5.0975723463309495E-2</v>
      </c>
      <c r="S41">
        <f>1-M41-R41</f>
        <v>0.24997304965391628</v>
      </c>
      <c r="T41">
        <f>1-(O41/(O41-1))^(-O41)</f>
        <v>0.68358752160313729</v>
      </c>
      <c r="U41">
        <f>(O41/(O41-1))^(-2.63)</f>
        <v>0.46930174101983668</v>
      </c>
      <c r="V41">
        <f>(O41/(O41-1))^(-3)</f>
        <v>0.42192048034325846</v>
      </c>
      <c r="W41">
        <f>(O41/(O41-1))^(-2)</f>
        <v>0.56254042624544676</v>
      </c>
      <c r="X41">
        <f t="shared" si="4"/>
        <v>0.53069825898016332</v>
      </c>
      <c r="Y41">
        <f t="shared" si="5"/>
        <v>0.57807951965674154</v>
      </c>
      <c r="Z41">
        <f t="shared" si="6"/>
        <v>0.43745957375455324</v>
      </c>
      <c r="AA41">
        <f>((O41-1)/O41)^(-3) -1</f>
        <v>1.3701148595262271</v>
      </c>
      <c r="AB41">
        <f>((O41-1)/O41)^(-2.63) -1</f>
        <v>1.1308252507798211</v>
      </c>
      <c r="AC41">
        <f>((O41-1)/O41)^(-2) -1</f>
        <v>0.77765002006039263</v>
      </c>
    </row>
    <row r="42" spans="1:29" x14ac:dyDescent="0.3">
      <c r="A42">
        <f t="shared" si="2"/>
        <v>1930</v>
      </c>
      <c r="B42" s="2">
        <f>Sheet1!B40</f>
        <v>376167</v>
      </c>
      <c r="C42" s="2">
        <f>Sheet1!F40</f>
        <v>315128</v>
      </c>
      <c r="D42" s="2">
        <f>Sheet1!G40</f>
        <v>313</v>
      </c>
      <c r="E42" s="2">
        <f>Sheet1!O40</f>
        <v>4471</v>
      </c>
      <c r="F42" s="2">
        <f>Sheet1!D40</f>
        <v>10582</v>
      </c>
      <c r="G42" s="12">
        <f t="shared" si="1"/>
        <v>61039</v>
      </c>
      <c r="H42" s="2">
        <f>Sheet1!N40</f>
        <v>287394</v>
      </c>
      <c r="I42" s="12">
        <v>78380</v>
      </c>
      <c r="J42">
        <f>Sheet2!J39</f>
        <v>140927.24</v>
      </c>
      <c r="K42">
        <f>Sheet2!P39</f>
        <v>201966.24</v>
      </c>
      <c r="L42">
        <f>Sheet1!T40</f>
        <v>0.10609556484162636</v>
      </c>
      <c r="M42">
        <f>Sheet2!Q39</f>
        <v>0.69777622240231829</v>
      </c>
      <c r="N42">
        <f>M42/R42</f>
        <v>8.322805344163088</v>
      </c>
      <c r="O42">
        <f t="shared" si="0"/>
        <v>4.5790751119877537</v>
      </c>
      <c r="P42">
        <f>1/(1+N42)</f>
        <v>0.10726385064191968</v>
      </c>
      <c r="Q42">
        <f t="shared" si="3"/>
        <v>1930</v>
      </c>
      <c r="R42">
        <f>Sheet1!AF40</f>
        <v>8.3839065501114904E-2</v>
      </c>
      <c r="S42">
        <f>1-M42-R42</f>
        <v>0.21838471209656679</v>
      </c>
      <c r="T42">
        <f>1-(O42/(O42-1))^(-O42)</f>
        <v>0.67640104012273372</v>
      </c>
      <c r="U42">
        <f>(O42/(O42-1))^(-2.63)</f>
        <v>0.52308432891600321</v>
      </c>
      <c r="V42">
        <f>(O42/(O42-1))^(-3)</f>
        <v>0.47750633311860841</v>
      </c>
      <c r="W42">
        <f>(O42/(O42-1))^(-2)</f>
        <v>0.61092245828436664</v>
      </c>
      <c r="X42">
        <f t="shared" si="4"/>
        <v>0.47691567108399679</v>
      </c>
      <c r="Y42">
        <f t="shared" si="5"/>
        <v>0.52249366688139154</v>
      </c>
      <c r="Z42">
        <f t="shared" si="6"/>
        <v>0.38907754171563336</v>
      </c>
      <c r="AA42">
        <f>((O42-1)/O42)^(-3) -1</f>
        <v>1.0942130619901302</v>
      </c>
      <c r="AB42">
        <f>((O42-1)/O42)^(-2.63) -1</f>
        <v>0.9117376390768912</v>
      </c>
      <c r="AC42">
        <f>((O42-1)/O42)^(-2) -1</f>
        <v>0.6368689453785461</v>
      </c>
    </row>
    <row r="43" spans="1:29" x14ac:dyDescent="0.3">
      <c r="A43">
        <f t="shared" si="2"/>
        <v>1931</v>
      </c>
      <c r="B43" s="2">
        <f>Sheet1!B41</f>
        <v>263275</v>
      </c>
      <c r="C43" s="2">
        <f>Sheet1!F41</f>
        <v>218860</v>
      </c>
      <c r="D43" s="2">
        <f>Sheet1!G41</f>
        <v>433</v>
      </c>
      <c r="E43" s="2">
        <f>Sheet1!O41</f>
        <v>6186</v>
      </c>
      <c r="F43" s="2">
        <f>Sheet1!D41</f>
        <v>8859</v>
      </c>
      <c r="G43" s="12">
        <f t="shared" si="1"/>
        <v>44415</v>
      </c>
      <c r="H43" s="2">
        <f>Sheet1!N41</f>
        <v>262231</v>
      </c>
      <c r="I43" s="12">
        <v>65516</v>
      </c>
      <c r="J43">
        <f>Sheet2!J40</f>
        <v>106660.048</v>
      </c>
      <c r="K43">
        <f>Sheet2!P40</f>
        <v>151075.04800000001</v>
      </c>
      <c r="L43">
        <f>Sheet1!T41</f>
        <v>0.12646675849111402</v>
      </c>
      <c r="M43">
        <f>Sheet2!Q40</f>
        <v>0.70600704359862254</v>
      </c>
      <c r="N43">
        <f>M43/R43</f>
        <v>7.424814683547055</v>
      </c>
      <c r="O43">
        <f t="shared" si="0"/>
        <v>5.0275140902288999</v>
      </c>
      <c r="P43">
        <f>1/(1+N43)</f>
        <v>0.11869697287857438</v>
      </c>
      <c r="Q43">
        <f t="shared" si="3"/>
        <v>1931</v>
      </c>
      <c r="R43">
        <f>Sheet1!AF41</f>
        <v>9.5087496953033979E-2</v>
      </c>
      <c r="S43">
        <f>1-M43-R43</f>
        <v>0.19890545944834348</v>
      </c>
      <c r="T43">
        <f>1-(O43/(O43-1))^(-O43)</f>
        <v>0.67207931932221165</v>
      </c>
      <c r="U43">
        <f>(O43/(O43-1))^(-2.63)</f>
        <v>0.55806954195615399</v>
      </c>
      <c r="V43">
        <f>(O43/(O43-1))^(-3)</f>
        <v>0.51410439441610711</v>
      </c>
      <c r="W43">
        <f>(O43/(O43-1))^(-2)</f>
        <v>0.64175246290166965</v>
      </c>
      <c r="X43">
        <f t="shared" si="4"/>
        <v>0.44193045804384601</v>
      </c>
      <c r="Y43">
        <f t="shared" si="5"/>
        <v>0.48589560558389289</v>
      </c>
      <c r="Z43">
        <f t="shared" si="6"/>
        <v>0.35824753709833035</v>
      </c>
      <c r="AA43">
        <f>((O43-1)/O43)^(-3) -1</f>
        <v>0.94513023203341406</v>
      </c>
      <c r="AB43">
        <f>((O43-1)/O43)^(-2.63) -1</f>
        <v>0.79189137700435097</v>
      </c>
      <c r="AC43">
        <f>((O43-1)/O43)^(-2) -1</f>
        <v>0.55823320954394462</v>
      </c>
    </row>
    <row r="44" spans="1:29" x14ac:dyDescent="0.3">
      <c r="A44">
        <f t="shared" si="2"/>
        <v>1932</v>
      </c>
      <c r="B44" s="2">
        <f>Sheet1!B42</f>
        <v>147162</v>
      </c>
      <c r="C44" s="2">
        <f>Sheet1!F42</f>
        <v>133671</v>
      </c>
      <c r="D44" s="2">
        <f>Sheet1!G42</f>
        <v>314</v>
      </c>
      <c r="E44" s="2">
        <f>Sheet1!O42</f>
        <v>6538</v>
      </c>
      <c r="F44" s="2">
        <f>Sheet1!D42</f>
        <v>6581</v>
      </c>
      <c r="G44" s="12">
        <f t="shared" si="1"/>
        <v>13491</v>
      </c>
      <c r="H44" s="2">
        <f>Sheet1!N42</f>
        <v>221475</v>
      </c>
      <c r="I44" s="12">
        <v>46943</v>
      </c>
      <c r="J44">
        <f>Sheet2!J41</f>
        <v>61401.444000000003</v>
      </c>
      <c r="K44">
        <f>Sheet2!P41</f>
        <v>74892.444000000003</v>
      </c>
      <c r="L44">
        <f>Sheet1!T42</f>
        <v>9.8814354078363101E-2</v>
      </c>
      <c r="M44">
        <f>Sheet2!Q41</f>
        <v>0.81986166721972642</v>
      </c>
      <c r="N44">
        <f>M44/R44</f>
        <v>5.05719922008472</v>
      </c>
      <c r="O44">
        <f t="shared" si="0"/>
        <v>55.492045213771277</v>
      </c>
      <c r="P44">
        <f>1/(1+N44)</f>
        <v>0.16509280340064716</v>
      </c>
      <c r="Q44">
        <f t="shared" si="3"/>
        <v>1932</v>
      </c>
      <c r="R44">
        <f>Sheet1!AF42</f>
        <v>0.16211773187887027</v>
      </c>
      <c r="S44">
        <f>1-M44-R44</f>
        <v>1.8020600901403311E-2</v>
      </c>
      <c r="T44">
        <f>1-(O44/(O44-1))^(-O44)</f>
        <v>0.63546037840784386</v>
      </c>
      <c r="U44">
        <f>(O44/(O44-1))^(-2.63)</f>
        <v>0.9532992494286131</v>
      </c>
      <c r="V44">
        <f>(O44/(O44-1))^(-3)</f>
        <v>0.94690657141933043</v>
      </c>
      <c r="W44">
        <f>(O44/(O44-1))^(-2)</f>
        <v>0.96428354025404084</v>
      </c>
      <c r="X44">
        <f t="shared" si="4"/>
        <v>4.6700750571386895E-2</v>
      </c>
      <c r="Y44">
        <f t="shared" si="5"/>
        <v>5.3093428580669566E-2</v>
      </c>
      <c r="Z44">
        <f t="shared" si="6"/>
        <v>3.5716459745959162E-2</v>
      </c>
      <c r="AA44">
        <f>((O44-1)/O44)^(-3) -1</f>
        <v>5.6070398266522714E-2</v>
      </c>
      <c r="AB44">
        <f>((O44-1)/O44)^(-2.63) -1</f>
        <v>4.8988552754424486E-2</v>
      </c>
      <c r="AC44">
        <f>((O44-1)/O44)^(-2) -1</f>
        <v>3.7039375095575755E-2</v>
      </c>
    </row>
    <row r="45" spans="1:29" x14ac:dyDescent="0.3">
      <c r="A45">
        <f t="shared" si="2"/>
        <v>1933</v>
      </c>
      <c r="B45" s="2">
        <f>Sheet1!B43</f>
        <v>136637</v>
      </c>
      <c r="C45" s="2">
        <f>Sheet1!F43</f>
        <v>118772</v>
      </c>
      <c r="D45" s="2">
        <f>Sheet1!G43</f>
        <v>410</v>
      </c>
      <c r="E45" s="2">
        <f>Sheet1!O43</f>
        <v>6527</v>
      </c>
      <c r="F45" s="2">
        <f>Sheet1!D43</f>
        <v>6180</v>
      </c>
      <c r="G45" s="12">
        <f t="shared" si="1"/>
        <v>17865</v>
      </c>
      <c r="H45" s="2">
        <f>Sheet1!N43</f>
        <v>168991</v>
      </c>
      <c r="I45" s="12">
        <v>41560</v>
      </c>
      <c r="J45">
        <f>Sheet2!J42</f>
        <v>55274.8</v>
      </c>
      <c r="K45">
        <f>Sheet2!P42</f>
        <v>73139.8</v>
      </c>
      <c r="L45">
        <f>Sheet1!T43</f>
        <v>8.6268405976980489E-2</v>
      </c>
      <c r="M45">
        <f>Sheet2!Q42</f>
        <v>0.75574174389320181</v>
      </c>
      <c r="N45">
        <f>M45/R45</f>
        <v>5.4080062595065348</v>
      </c>
      <c r="O45">
        <f t="shared" si="0"/>
        <v>9.5681627051782296</v>
      </c>
      <c r="P45">
        <f>1/(1+N45)</f>
        <v>0.15605477889733016</v>
      </c>
      <c r="Q45">
        <f t="shared" si="3"/>
        <v>1933</v>
      </c>
      <c r="R45">
        <f>Sheet1!AF43</f>
        <v>0.13974498320239762</v>
      </c>
      <c r="S45">
        <f>1-M45-R45</f>
        <v>0.10451327290440057</v>
      </c>
      <c r="T45">
        <f>1-(O45/(O45-1))^(-O45)</f>
        <v>0.65222834922101125</v>
      </c>
      <c r="U45">
        <f>(O45/(O45-1))^(-2.63)</f>
        <v>0.748024069725859</v>
      </c>
      <c r="V45">
        <f>(O45/(O45-1))^(-3)</f>
        <v>0.71808765291583299</v>
      </c>
      <c r="W45">
        <f>(O45/(O45-1))^(-2)</f>
        <v>0.8018964784043886</v>
      </c>
      <c r="X45">
        <f t="shared" si="4"/>
        <v>0.251975930274141</v>
      </c>
      <c r="Y45">
        <f t="shared" si="5"/>
        <v>0.28191234708416701</v>
      </c>
      <c r="Z45">
        <f t="shared" si="6"/>
        <v>0.1981035215956114</v>
      </c>
      <c r="AA45">
        <f>((O45-1)/O45)^(-3) -1</f>
        <v>0.39258765408296203</v>
      </c>
      <c r="AB45">
        <f>((O45-1)/O45)^(-2.63) -1</f>
        <v>0.33685537734967141</v>
      </c>
      <c r="AC45">
        <f>((O45-1)/O45)^(-2) -1</f>
        <v>0.24704376054849053</v>
      </c>
    </row>
    <row r="46" spans="1:29" x14ac:dyDescent="0.3">
      <c r="A46">
        <f t="shared" si="2"/>
        <v>1934</v>
      </c>
      <c r="B46" s="2">
        <f>Sheet1!B44</f>
        <v>164797</v>
      </c>
      <c r="C46" s="2">
        <f>Sheet1!F44</f>
        <v>140380</v>
      </c>
      <c r="D46" s="2">
        <f>Sheet1!G44</f>
        <v>366</v>
      </c>
      <c r="E46" s="2">
        <f>Sheet1!O44</f>
        <v>5332</v>
      </c>
      <c r="F46" s="2">
        <f>Sheet1!D44</f>
        <v>7336</v>
      </c>
      <c r="G46" s="12">
        <f t="shared" si="1"/>
        <v>24417</v>
      </c>
      <c r="H46" s="2">
        <f>Sheet1!N44</f>
        <v>169246</v>
      </c>
      <c r="I46" s="12">
        <v>49642</v>
      </c>
      <c r="J46">
        <f>Sheet2!J43</f>
        <v>75207.63</v>
      </c>
      <c r="K46">
        <f>Sheet2!P43</f>
        <v>99624.63</v>
      </c>
      <c r="L46">
        <f>Sheet1!T44</f>
        <v>8.8448179471963387E-2</v>
      </c>
      <c r="M46">
        <f>Sheet2!Q43</f>
        <v>0.75491000568835243</v>
      </c>
      <c r="N46">
        <f>M46/R46</f>
        <v>6.5185541762011576</v>
      </c>
      <c r="O46">
        <f t="shared" si="0"/>
        <v>7.7351144031045971</v>
      </c>
      <c r="P46">
        <f>1/(1+N46)</f>
        <v>0.13300429531589308</v>
      </c>
      <c r="Q46">
        <f t="shared" si="3"/>
        <v>1934</v>
      </c>
      <c r="R46">
        <f>Sheet1!AF44</f>
        <v>0.11580942418864641</v>
      </c>
      <c r="S46">
        <f>1-M46-R46</f>
        <v>0.12928057012300115</v>
      </c>
      <c r="T46">
        <f>1-(O46/(O46-1))^(-O46)</f>
        <v>0.6572706673635127</v>
      </c>
      <c r="U46">
        <f>(O46/(O46-1))^(-2.63)</f>
        <v>0.69483191779961273</v>
      </c>
      <c r="V46">
        <f>(O46/(O46-1))^(-3)</f>
        <v>0.66013796067616137</v>
      </c>
      <c r="W46">
        <f>(O46/(O46-1))^(-2)</f>
        <v>0.75815232556532586</v>
      </c>
      <c r="X46">
        <f t="shared" si="4"/>
        <v>0.30516808220038727</v>
      </c>
      <c r="Y46">
        <f t="shared" si="5"/>
        <v>0.33986203932383863</v>
      </c>
      <c r="Z46">
        <f t="shared" si="6"/>
        <v>0.24184767443467414</v>
      </c>
      <c r="AA46">
        <f>((O46-1)/O46)^(-3) -1</f>
        <v>0.514834867208253</v>
      </c>
      <c r="AB46">
        <f>((O46-1)/O46)^(-2.63) -1</f>
        <v>0.43919698330322876</v>
      </c>
      <c r="AC46">
        <f>((O46-1)/O46)^(-2) -1</f>
        <v>0.31899615193336928</v>
      </c>
    </row>
    <row r="47" spans="1:29" x14ac:dyDescent="0.3">
      <c r="A47">
        <f t="shared" si="2"/>
        <v>1935</v>
      </c>
      <c r="B47" s="2">
        <f>Sheet1!B45</f>
        <v>208733</v>
      </c>
      <c r="C47" s="2">
        <f>Sheet1!F45</f>
        <v>167729</v>
      </c>
      <c r="D47" s="2">
        <f>Sheet1!G45</f>
        <v>273</v>
      </c>
      <c r="E47" s="2">
        <f>Sheet1!O45</f>
        <v>5136</v>
      </c>
      <c r="F47" s="2">
        <f>Sheet1!D45</f>
        <v>9339</v>
      </c>
      <c r="G47" s="12">
        <f t="shared" si="1"/>
        <v>41004</v>
      </c>
      <c r="H47" s="2">
        <f>Sheet1!N45</f>
        <v>170489</v>
      </c>
      <c r="I47" s="12">
        <v>55706</v>
      </c>
      <c r="J47">
        <f>Sheet2!J44</f>
        <v>88739.657999999996</v>
      </c>
      <c r="K47">
        <f>Sheet2!P44</f>
        <v>129743.658</v>
      </c>
      <c r="L47">
        <f>Sheet1!T45</f>
        <v>0.10126251682182112</v>
      </c>
      <c r="M47">
        <f>Sheet2!Q44</f>
        <v>0.68396143108590324</v>
      </c>
      <c r="N47">
        <f>M47/R47</f>
        <v>7.1567002351218632</v>
      </c>
      <c r="O47">
        <f t="shared" si="0"/>
        <v>4.5357812667220863</v>
      </c>
      <c r="P47">
        <f>1/(1+N47)</f>
        <v>0.12259859639000938</v>
      </c>
      <c r="Q47">
        <f t="shared" si="3"/>
        <v>1935</v>
      </c>
      <c r="R47">
        <f>Sheet1!AF45</f>
        <v>9.556938374047419E-2</v>
      </c>
      <c r="S47">
        <f>1-M47-R47</f>
        <v>0.22046918517362257</v>
      </c>
      <c r="T47">
        <f>1-(O47/(O47-1))^(-O47)</f>
        <v>0.67686838455193865</v>
      </c>
      <c r="U47">
        <f>(O47/(O47-1))^(-2.63)</f>
        <v>0.51942344242454319</v>
      </c>
      <c r="V47">
        <f>(O47/(O47-1))^(-3)</f>
        <v>0.47369615823308159</v>
      </c>
      <c r="W47">
        <f>(O47/(O47-1))^(-2)</f>
        <v>0.60766829126387589</v>
      </c>
      <c r="X47">
        <f t="shared" si="4"/>
        <v>0.48057655757545681</v>
      </c>
      <c r="Y47">
        <f t="shared" si="5"/>
        <v>0.52630384176691836</v>
      </c>
      <c r="Z47">
        <f t="shared" si="6"/>
        <v>0.39233170873612411</v>
      </c>
      <c r="AA47">
        <f>((O47-1)/O47)^(-3) -1</f>
        <v>1.1110578640326469</v>
      </c>
      <c r="AB47">
        <f>((O47-1)/O47)^(-2.63) -1</f>
        <v>0.92521152940699269</v>
      </c>
      <c r="AC47">
        <f>((O47-1)/O47)^(-2) -1</f>
        <v>0.6456346568950011</v>
      </c>
    </row>
    <row r="48" spans="1:29" x14ac:dyDescent="0.3">
      <c r="A48">
        <f t="shared" si="2"/>
        <v>1936</v>
      </c>
      <c r="B48" s="2">
        <f>Sheet1!B46</f>
        <v>268545</v>
      </c>
      <c r="C48" s="2">
        <f>Sheet1!F46</f>
        <v>208332</v>
      </c>
      <c r="D48" s="2">
        <f>Sheet1!G46</f>
        <v>245</v>
      </c>
      <c r="E48" s="2">
        <f>Sheet1!O46</f>
        <v>4199</v>
      </c>
      <c r="F48" s="2">
        <f>Sheet1!D46</f>
        <v>11799</v>
      </c>
      <c r="G48" s="12">
        <f t="shared" si="1"/>
        <v>60213</v>
      </c>
      <c r="H48" s="2">
        <f>Sheet1!N46</f>
        <v>164009</v>
      </c>
      <c r="I48" s="12">
        <v>61781</v>
      </c>
      <c r="J48">
        <f>Sheet2!J45</f>
        <v>106757.568</v>
      </c>
      <c r="K48">
        <f>Sheet2!P45</f>
        <v>166970.568</v>
      </c>
      <c r="L48">
        <f>Sheet1!T46</f>
        <v>5.7680781021302835E-2</v>
      </c>
      <c r="M48">
        <f>Sheet2!Q45</f>
        <v>0.63937955819854431</v>
      </c>
      <c r="N48">
        <f>M48/R48</f>
        <v>7.7988349225472033</v>
      </c>
      <c r="O48">
        <f t="shared" si="0"/>
        <v>3.5889058029512744</v>
      </c>
      <c r="P48">
        <f>1/(1+N48)</f>
        <v>0.113651410533624</v>
      </c>
      <c r="Q48">
        <f t="shared" si="3"/>
        <v>1936</v>
      </c>
      <c r="R48">
        <f>Sheet1!AF46</f>
        <v>8.1983984088448231E-2</v>
      </c>
      <c r="S48">
        <f>1-M48-R48</f>
        <v>0.27863645771300749</v>
      </c>
      <c r="T48">
        <f>1-(O48/(O48-1))^(-O48)</f>
        <v>0.69030888417774139</v>
      </c>
      <c r="U48">
        <f>(O48/(O48-1))^(-2.63)</f>
        <v>0.42358982345705831</v>
      </c>
      <c r="V48">
        <f>(O48/(O48-1))^(-3)</f>
        <v>0.37537259947464108</v>
      </c>
      <c r="W48">
        <f>(O48/(O48-1))^(-2)</f>
        <v>0.52036536014083756</v>
      </c>
      <c r="X48">
        <f t="shared" si="4"/>
        <v>0.57641017654294169</v>
      </c>
      <c r="Y48">
        <f t="shared" si="5"/>
        <v>0.62462740052535892</v>
      </c>
      <c r="Z48">
        <f t="shared" si="6"/>
        <v>0.47963463985916244</v>
      </c>
      <c r="AA48">
        <f>((O48-1)/O48)^(-3) -1</f>
        <v>1.6640197004245012</v>
      </c>
      <c r="AB48">
        <f>((O48-1)/O48)^(-2.63) -1</f>
        <v>1.3607743732808903</v>
      </c>
      <c r="AC48">
        <f>((O48-1)/O48)^(-2) -1</f>
        <v>0.92172668782055078</v>
      </c>
    </row>
    <row r="49" spans="1:29" x14ac:dyDescent="0.3">
      <c r="A49">
        <f t="shared" si="2"/>
        <v>1937</v>
      </c>
      <c r="B49" s="2">
        <f>Sheet1!B47</f>
        <v>349740</v>
      </c>
      <c r="C49" s="2">
        <f>Sheet1!F47</f>
        <v>264016</v>
      </c>
      <c r="D49" s="2">
        <f>Sheet1!G47</f>
        <v>265</v>
      </c>
      <c r="E49" s="2">
        <f>Sheet1!O47</f>
        <v>4111</v>
      </c>
      <c r="F49" s="2">
        <f>Sheet1!D47</f>
        <v>12067</v>
      </c>
      <c r="G49" s="12">
        <f t="shared" si="1"/>
        <v>85724</v>
      </c>
      <c r="H49" s="2">
        <f>Sheet1!N47</f>
        <v>216365</v>
      </c>
      <c r="I49" s="12">
        <v>75212</v>
      </c>
      <c r="J49">
        <f>Sheet2!J46</f>
        <v>145384.796</v>
      </c>
      <c r="K49">
        <f>Sheet2!P46</f>
        <v>231108.796</v>
      </c>
      <c r="L49">
        <f>Sheet1!T47</f>
        <v>6.3878685192440887E-2</v>
      </c>
      <c r="M49">
        <f>Sheet2!Q46</f>
        <v>0.62907513048529751</v>
      </c>
      <c r="N49">
        <f>M49/R49</f>
        <v>10.150183218466401</v>
      </c>
      <c r="O49">
        <f t="shared" si="0"/>
        <v>3.2367891602588172</v>
      </c>
      <c r="P49">
        <f>1/(1+N49)</f>
        <v>8.9684624943547814E-2</v>
      </c>
      <c r="Q49">
        <f t="shared" si="3"/>
        <v>1937</v>
      </c>
      <c r="R49">
        <f>Sheet1!AF47</f>
        <v>6.1976726621132364E-2</v>
      </c>
      <c r="S49">
        <f>1-M49-R49</f>
        <v>0.30894814289357014</v>
      </c>
      <c r="T49">
        <f>1-(O49/(O49-1))^(-O49)</f>
        <v>0.6976362143922652</v>
      </c>
      <c r="U49">
        <f>(O49/(O49-1))^(-2.63)</f>
        <v>0.37836676257082885</v>
      </c>
      <c r="V49">
        <f>(O49/(O49-1))^(-3)</f>
        <v>0.33001365892387285</v>
      </c>
      <c r="W49">
        <f>(O49/(O49-1))^(-2)</f>
        <v>0.47755266921024564</v>
      </c>
      <c r="X49">
        <f t="shared" si="4"/>
        <v>0.62163323742917109</v>
      </c>
      <c r="Y49">
        <f t="shared" si="5"/>
        <v>0.66998634107612709</v>
      </c>
      <c r="Z49">
        <f t="shared" si="6"/>
        <v>0.52244733078975436</v>
      </c>
      <c r="AA49">
        <f>((O49-1)/O49)^(-3) -1</f>
        <v>2.030177609196107</v>
      </c>
      <c r="AB49">
        <f>((O49-1)/O49)^(-2.63) -1</f>
        <v>1.6429382782077853</v>
      </c>
      <c r="AC49">
        <f>((O49-1)/O49)^(-2) -1</f>
        <v>1.0940098641972913</v>
      </c>
    </row>
    <row r="50" spans="1:29" x14ac:dyDescent="0.3">
      <c r="A50">
        <f t="shared" si="2"/>
        <v>1938</v>
      </c>
      <c r="B50" s="2">
        <f>Sheet1!B48</f>
        <v>259484</v>
      </c>
      <c r="C50" s="2">
        <f>Sheet1!F48</f>
        <v>207489</v>
      </c>
      <c r="D50" s="2">
        <f>Sheet1!G48</f>
        <v>315</v>
      </c>
      <c r="E50" s="2">
        <f>Sheet1!O48</f>
        <v>4604</v>
      </c>
      <c r="F50" s="2">
        <f>Sheet1!D48</f>
        <v>11655</v>
      </c>
      <c r="G50" s="12">
        <f t="shared" si="1"/>
        <v>51995</v>
      </c>
      <c r="H50" s="2">
        <f>Sheet1!N48</f>
        <v>200042</v>
      </c>
      <c r="I50" s="12">
        <v>59917</v>
      </c>
      <c r="J50">
        <f>Sheet2!J47</f>
        <v>101499.398</v>
      </c>
      <c r="K50">
        <f>Sheet2!P47</f>
        <v>153494.39799999999</v>
      </c>
      <c r="L50">
        <f>Sheet1!T48</f>
        <v>8.0633737342546544E-2</v>
      </c>
      <c r="M50">
        <f>Sheet2!Q47</f>
        <v>0.66125799587812972</v>
      </c>
      <c r="N50">
        <f>M50/R50</f>
        <v>6.7780353725543616</v>
      </c>
      <c r="O50">
        <f t="shared" si="0"/>
        <v>4.1462282354364994</v>
      </c>
      <c r="P50">
        <f>1/(1+N50)</f>
        <v>0.12856717051308458</v>
      </c>
      <c r="Q50">
        <f t="shared" si="3"/>
        <v>1938</v>
      </c>
      <c r="R50">
        <f>Sheet1!AF48</f>
        <v>9.7558947325016521E-2</v>
      </c>
      <c r="S50">
        <f>1-M50-R50</f>
        <v>0.24118305679685376</v>
      </c>
      <c r="T50">
        <f>1-(O50/(O50-1))^(-O50)</f>
        <v>0.68156505166050008</v>
      </c>
      <c r="U50">
        <f>(O50/(O50-1))^(-2.63)</f>
        <v>0.48390528035941049</v>
      </c>
      <c r="V50">
        <f>(O50/(O50-1))^(-3)</f>
        <v>0.43692918866789482</v>
      </c>
      <c r="W50">
        <f>(O50/(O50-1))^(-2)</f>
        <v>0.57580315329216691</v>
      </c>
      <c r="X50">
        <f t="shared" si="4"/>
        <v>0.51609471964058951</v>
      </c>
      <c r="Y50">
        <f t="shared" si="5"/>
        <v>0.56307081133210524</v>
      </c>
      <c r="Z50">
        <f t="shared" si="6"/>
        <v>0.42419684670783309</v>
      </c>
      <c r="AA50">
        <f>((O50-1)/O50)^(-3) -1</f>
        <v>1.2887003796857566</v>
      </c>
      <c r="AB50">
        <f>((O50-1)/O50)^(-2.63) -1</f>
        <v>1.0665201240566571</v>
      </c>
      <c r="AC50">
        <f>((O50-1)/O50)^(-2) -1</f>
        <v>0.73670462602102593</v>
      </c>
    </row>
    <row r="51" spans="1:29" x14ac:dyDescent="0.3">
      <c r="A51">
        <f t="shared" si="2"/>
        <v>1939</v>
      </c>
      <c r="B51" s="2">
        <f>Sheet1!B49</f>
        <v>304680</v>
      </c>
      <c r="C51" s="2">
        <f>Sheet1!F49</f>
        <v>230510</v>
      </c>
      <c r="D51" s="2">
        <f>Sheet1!G49</f>
        <v>235</v>
      </c>
      <c r="E51" s="2">
        <f>Sheet1!O49</f>
        <v>5859</v>
      </c>
      <c r="F51" s="2">
        <f>Sheet1!D49</f>
        <v>13893</v>
      </c>
      <c r="G51" s="12">
        <f t="shared" si="1"/>
        <v>74170</v>
      </c>
      <c r="H51" s="2">
        <f>Sheet1!N49</f>
        <v>181066</v>
      </c>
      <c r="I51" s="12">
        <v>62797</v>
      </c>
      <c r="J51">
        <f>Sheet2!J48</f>
        <v>120130.66099999999</v>
      </c>
      <c r="K51">
        <f>Sheet2!P48</f>
        <v>194300.66099999999</v>
      </c>
      <c r="L51">
        <f>Sheet1!T49</f>
        <v>8.4576460950970225E-2</v>
      </c>
      <c r="M51">
        <f>Sheet2!Q48</f>
        <v>0.61827201401028686</v>
      </c>
      <c r="N51">
        <f>M51/R51</f>
        <v>7.3207397575403501</v>
      </c>
      <c r="O51">
        <f t="shared" si="0"/>
        <v>3.3639098035752695</v>
      </c>
      <c r="P51">
        <f>1/(1+N51)</f>
        <v>0.12018162196381499</v>
      </c>
      <c r="Q51">
        <f t="shared" si="3"/>
        <v>1939</v>
      </c>
      <c r="R51">
        <f>Sheet1!AF49</f>
        <v>8.4454854903627419E-2</v>
      </c>
      <c r="S51">
        <f>1-M51-R51</f>
        <v>0.29727313108608572</v>
      </c>
      <c r="T51">
        <f>1-(O51/(O51-1))^(-O51)</f>
        <v>0.694786454097441</v>
      </c>
      <c r="U51">
        <f>(O51/(O51-1))^(-2.63)</f>
        <v>0.39541091244936538</v>
      </c>
      <c r="V51">
        <f>(O51/(O51-1))^(-3)</f>
        <v>0.3470241327894989</v>
      </c>
      <c r="W51">
        <f>(O51/(O51-1))^(-2)</f>
        <v>0.49382505229355361</v>
      </c>
      <c r="X51">
        <f t="shared" si="4"/>
        <v>0.60458908755063456</v>
      </c>
      <c r="Y51">
        <f t="shared" si="5"/>
        <v>0.65297586721050105</v>
      </c>
      <c r="Z51">
        <f t="shared" si="6"/>
        <v>0.50617494770644633</v>
      </c>
      <c r="AA51">
        <f>((O51-1)/O51)^(-3) -1</f>
        <v>1.8816439708721617</v>
      </c>
      <c r="AB51">
        <f>((O51-1)/O51)^(-2.63) -1</f>
        <v>1.5290146743940856</v>
      </c>
      <c r="AC51">
        <f>((O51-1)/O51)^(-2) -1</f>
        <v>1.025008644975653</v>
      </c>
    </row>
    <row r="52" spans="1:29" x14ac:dyDescent="0.3">
      <c r="U52">
        <f>AVERAGE(U8:U34)</f>
        <v>0.55472577985990579</v>
      </c>
      <c r="X52">
        <f t="shared" ref="X52:AC52" si="7">AVERAGE(X8:X34)</f>
        <v>0.44527422014009405</v>
      </c>
      <c r="Y52">
        <f t="shared" si="7"/>
        <v>0.48587379827970856</v>
      </c>
      <c r="Z52">
        <f t="shared" si="7"/>
        <v>0.36633511044319322</v>
      </c>
      <c r="AA52">
        <f t="shared" si="7"/>
        <v>1.2300344072039968</v>
      </c>
      <c r="AB52">
        <f t="shared" si="7"/>
        <v>1.0023872291003291</v>
      </c>
      <c r="AC52">
        <f t="shared" si="7"/>
        <v>0.67692968621422878</v>
      </c>
    </row>
    <row r="53" spans="1:29" x14ac:dyDescent="0.3">
      <c r="U53">
        <f>AVERAGE(U8:U41)</f>
        <v>0.54721044030516797</v>
      </c>
      <c r="X53">
        <f t="shared" ref="X53:AC53" si="8">AVERAGE(X35:X41)</f>
        <v>0.48177729797739216</v>
      </c>
      <c r="Y53">
        <f t="shared" si="8"/>
        <v>0.52741228298926734</v>
      </c>
      <c r="Z53">
        <f t="shared" si="8"/>
        <v>0.39360457023378392</v>
      </c>
      <c r="AA53">
        <f t="shared" si="8"/>
        <v>1.1261417229682755</v>
      </c>
      <c r="AB53">
        <f t="shared" si="8"/>
        <v>0.9367701946919933</v>
      </c>
      <c r="AC53">
        <f t="shared" si="8"/>
        <v>0.65259428346480652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52"/>
  <sheetViews>
    <sheetView workbookViewId="0">
      <selection activeCell="F6" sqref="F6"/>
    </sheetView>
  </sheetViews>
  <sheetFormatPr defaultColWidth="10.77734375" defaultRowHeight="14.4" x14ac:dyDescent="0.3"/>
  <cols>
    <col min="3" max="3" width="13.109375" customWidth="1"/>
    <col min="4" max="4" width="11.109375" customWidth="1"/>
    <col min="5" max="5" width="10.33203125" customWidth="1"/>
    <col min="6" max="6" width="11.77734375" customWidth="1"/>
    <col min="7" max="7" width="8.44140625" customWidth="1"/>
    <col min="8" max="8" width="7.88671875" customWidth="1"/>
    <col min="9" max="9" width="8.77734375" customWidth="1"/>
    <col min="10" max="10" width="9.5546875" customWidth="1"/>
    <col min="11" max="11" width="13.77734375" customWidth="1"/>
    <col min="12" max="12" width="10.109375" customWidth="1"/>
    <col min="13" max="13" width="10.21875" customWidth="1"/>
    <col min="14" max="14" width="8.33203125" customWidth="1"/>
    <col min="15" max="15" width="8.6640625" customWidth="1"/>
    <col min="16" max="16" width="7.21875" customWidth="1"/>
    <col min="17" max="17" width="9" customWidth="1"/>
  </cols>
  <sheetData>
    <row r="1" spans="1:19" ht="21" x14ac:dyDescent="0.4">
      <c r="C1" s="22"/>
      <c r="H1" s="34" t="s">
        <v>102</v>
      </c>
    </row>
    <row r="3" spans="1:19" ht="69" x14ac:dyDescent="0.3">
      <c r="A3" s="11"/>
      <c r="B3" s="30" t="s">
        <v>85</v>
      </c>
      <c r="C3" s="30" t="s">
        <v>96</v>
      </c>
      <c r="D3" s="30" t="s">
        <v>3</v>
      </c>
      <c r="E3" s="30" t="s">
        <v>86</v>
      </c>
      <c r="F3" s="30" t="s">
        <v>91</v>
      </c>
      <c r="G3" s="30" t="s">
        <v>87</v>
      </c>
      <c r="H3" s="30" t="s">
        <v>53</v>
      </c>
      <c r="I3" s="30" t="s">
        <v>88</v>
      </c>
      <c r="J3" s="32" t="s">
        <v>89</v>
      </c>
      <c r="K3" s="30" t="s">
        <v>90</v>
      </c>
      <c r="L3" s="30" t="s">
        <v>97</v>
      </c>
      <c r="M3" s="30" t="s">
        <v>82</v>
      </c>
      <c r="N3" s="30" t="s">
        <v>92</v>
      </c>
      <c r="O3" s="30" t="s">
        <v>93</v>
      </c>
      <c r="P3" s="30" t="s">
        <v>94</v>
      </c>
      <c r="Q3" s="30" t="s">
        <v>95</v>
      </c>
      <c r="R3" s="11"/>
      <c r="S3" s="11"/>
    </row>
    <row r="4" spans="1:19" x14ac:dyDescent="0.3">
      <c r="B4" s="31" t="s">
        <v>62</v>
      </c>
      <c r="C4" s="31" t="s">
        <v>62</v>
      </c>
      <c r="D4" s="31" t="s">
        <v>62</v>
      </c>
      <c r="E4" s="31" t="s">
        <v>62</v>
      </c>
      <c r="F4" s="31"/>
      <c r="G4" s="31" t="s">
        <v>62</v>
      </c>
      <c r="H4" s="31" t="s">
        <v>62</v>
      </c>
      <c r="I4" s="31"/>
      <c r="J4" s="33"/>
      <c r="K4" s="31"/>
      <c r="L4" s="31"/>
      <c r="M4" s="31"/>
      <c r="N4" s="31"/>
      <c r="O4" s="31"/>
      <c r="P4" s="31"/>
      <c r="Q4" s="31" t="s">
        <v>62</v>
      </c>
    </row>
    <row r="5" spans="1:19" x14ac:dyDescent="0.3">
      <c r="J5" s="12"/>
    </row>
    <row r="6" spans="1:19" x14ac:dyDescent="0.3">
      <c r="A6">
        <f>Sheet4!A6</f>
        <v>1894</v>
      </c>
      <c r="B6" s="2">
        <f>Sheet1!B4</f>
        <v>12541</v>
      </c>
      <c r="C6" s="2">
        <f>Sheet1!C4</f>
        <v>12384</v>
      </c>
      <c r="D6" s="2">
        <f>Sheet1!D4</f>
        <v>547</v>
      </c>
      <c r="E6" s="2">
        <f>Sheet1!J4</f>
        <v>4324</v>
      </c>
      <c r="F6" s="12">
        <f>Sheet4!I6</f>
        <v>5700</v>
      </c>
      <c r="G6" s="7">
        <f>Sheet4!J6</f>
        <v>2394</v>
      </c>
      <c r="H6" s="7">
        <f>Sheet2!P3</f>
        <v>3098</v>
      </c>
      <c r="I6" s="10">
        <f>Sheet1!AA4</f>
        <v>4.41</v>
      </c>
      <c r="J6" s="10">
        <f>(Sheet1!Z4)*100</f>
        <v>1.0513319638734415</v>
      </c>
      <c r="K6" s="10">
        <f>(Sheet1!AB4)*100</f>
        <v>-3.628478445060157</v>
      </c>
      <c r="L6" s="10">
        <f>(Sheet1!AD4)*100</f>
        <v>21.281119911836488</v>
      </c>
      <c r="M6" s="10">
        <f>(Sheet1!AE4)*100</f>
        <v>3.7813319638734413</v>
      </c>
      <c r="N6" s="10">
        <f>Sheet4!M6</f>
        <v>0.77275661717236932</v>
      </c>
      <c r="O6" s="10">
        <f>Sheet4!R6</f>
        <v>0.29702892995087471</v>
      </c>
      <c r="P6" s="10">
        <f>Sheet4!S6</f>
        <v>-6.9785547123244029E-2</v>
      </c>
      <c r="Q6" s="10">
        <f>Sheet4!P6</f>
        <v>0.27765277886732909</v>
      </c>
    </row>
    <row r="7" spans="1:19" x14ac:dyDescent="0.3">
      <c r="A7">
        <f>Sheet4!A7</f>
        <v>1895</v>
      </c>
      <c r="B7" s="2">
        <f>Sheet1!B5</f>
        <v>12730</v>
      </c>
      <c r="C7" s="2">
        <f>Sheet1!C5</f>
        <v>12421</v>
      </c>
      <c r="D7" s="2">
        <f>Sheet1!D5</f>
        <v>661</v>
      </c>
      <c r="E7" s="2">
        <f>Sheet1!J5</f>
        <v>3922</v>
      </c>
      <c r="F7" s="7">
        <f>Sheet4!I7</f>
        <v>5800</v>
      </c>
      <c r="G7" s="7">
        <f>Sheet4!J7</f>
        <v>2540.4</v>
      </c>
      <c r="H7" s="7">
        <f>Sheet2!P4</f>
        <v>3510.4</v>
      </c>
      <c r="I7" s="10">
        <f>Sheet1!AA5</f>
        <v>4.2699999999999996</v>
      </c>
      <c r="J7" s="10">
        <f>(Sheet1!Z5)*100</f>
        <v>1.0348275071354871</v>
      </c>
      <c r="K7" s="10">
        <f>(Sheet1!AB5)*100</f>
        <v>-4.0968657723897355</v>
      </c>
      <c r="L7" s="10">
        <f>(Sheet1!AD5)*100</f>
        <v>25.564868120027619</v>
      </c>
      <c r="M7" s="10">
        <f>(Sheet1!AE5)*100</f>
        <v>3.6248275071354863</v>
      </c>
      <c r="N7" s="10">
        <f>Sheet4!M7</f>
        <v>0.7236782133090246</v>
      </c>
      <c r="O7" s="10">
        <f>Sheet4!R7</f>
        <v>0.33329888721283291</v>
      </c>
      <c r="P7" s="10">
        <f>Sheet4!S7</f>
        <v>-5.6977100521857504E-2</v>
      </c>
      <c r="Q7" s="10">
        <f>Sheet4!P7</f>
        <v>0.31533217422428023</v>
      </c>
    </row>
    <row r="8" spans="1:19" x14ac:dyDescent="0.3">
      <c r="A8">
        <f>Sheet4!A8</f>
        <v>1896</v>
      </c>
      <c r="B8" s="2">
        <f>Sheet1!B6</f>
        <v>12541</v>
      </c>
      <c r="C8" s="2">
        <f>Sheet1!C6</f>
        <v>11937</v>
      </c>
      <c r="D8" s="2">
        <f>Sheet1!D6</f>
        <v>509</v>
      </c>
      <c r="E8" s="2">
        <f>Sheet1!J6</f>
        <v>4043</v>
      </c>
      <c r="F8" s="7">
        <f>Sheet4!I8</f>
        <v>5900</v>
      </c>
      <c r="G8" s="7">
        <f>Sheet4!J8</f>
        <v>2590.1</v>
      </c>
      <c r="H8" s="7">
        <f>Sheet2!P5</f>
        <v>3703.1</v>
      </c>
      <c r="I8" s="10">
        <f>Sheet1!AA6</f>
        <v>4.34</v>
      </c>
      <c r="J8" s="10">
        <f>(Sheet1!Z6)*100</f>
        <v>1.0406811355779195</v>
      </c>
      <c r="K8" s="10">
        <f>(Sheet1!AB6)*100</f>
        <v>-3.3372095204981966</v>
      </c>
      <c r="L8" s="10">
        <f>(Sheet1!AD6)*100</f>
        <v>20.887408428538748</v>
      </c>
      <c r="M8" s="10">
        <f>(Sheet1!AE6)*100</f>
        <v>3.7006811355779199</v>
      </c>
      <c r="N8" s="10">
        <f>Sheet4!M8</f>
        <v>0.69944100888444816</v>
      </c>
      <c r="O8" s="10">
        <f>Sheet4!R8</f>
        <v>0.27982236839407892</v>
      </c>
      <c r="P8" s="10">
        <f>Sheet4!S8</f>
        <v>2.0736622721472919E-2</v>
      </c>
      <c r="Q8" s="10">
        <f>Sheet4!P8</f>
        <v>0.28574781298544411</v>
      </c>
    </row>
    <row r="9" spans="1:19" x14ac:dyDescent="0.3">
      <c r="A9">
        <f>Sheet4!A9</f>
        <v>1897</v>
      </c>
      <c r="B9" s="2">
        <f>Sheet1!B7</f>
        <v>12396</v>
      </c>
      <c r="C9" s="2">
        <f>Sheet1!C7</f>
        <v>11230</v>
      </c>
      <c r="D9" s="2">
        <f>Sheet1!D7</f>
        <v>439</v>
      </c>
      <c r="E9" s="2">
        <f>Sheet1!J7</f>
        <v>3987</v>
      </c>
      <c r="F9" s="7">
        <f>Sheet4!I9</f>
        <v>5700</v>
      </c>
      <c r="G9" s="7">
        <f>Sheet4!J9</f>
        <v>2519.4</v>
      </c>
      <c r="H9" s="7">
        <f>Sheet2!P6</f>
        <v>4124.3999999999996</v>
      </c>
      <c r="I9" s="10">
        <f>Sheet1!AA7</f>
        <v>4.1100000000000003</v>
      </c>
      <c r="J9" s="10">
        <f>(Sheet1!Z7)*100</f>
        <v>0.98920227164457863</v>
      </c>
      <c r="K9" s="10">
        <f>(Sheet1!AB7)*100</f>
        <v>-3.236745248371431</v>
      </c>
      <c r="L9" s="10">
        <f>(Sheet1!AD7)*100</f>
        <v>18.990341509472984</v>
      </c>
      <c r="M9" s="10">
        <f>(Sheet1!AE7)*100</f>
        <v>3.4192022716445796</v>
      </c>
      <c r="N9" s="10">
        <f>Sheet4!M9</f>
        <v>0.61085248763456512</v>
      </c>
      <c r="O9" s="10">
        <f>Sheet4!R9</f>
        <v>0.2213221790831795</v>
      </c>
      <c r="P9" s="10">
        <f>Sheet4!S9</f>
        <v>0.16782533328225538</v>
      </c>
      <c r="Q9" s="10">
        <f>Sheet4!P9</f>
        <v>0.26595640066299581</v>
      </c>
    </row>
    <row r="10" spans="1:19" x14ac:dyDescent="0.3">
      <c r="A10">
        <f>Sheet4!A10</f>
        <v>1898</v>
      </c>
      <c r="B10" s="2">
        <f>Sheet1!B8</f>
        <v>15679</v>
      </c>
      <c r="C10" s="2">
        <f>Sheet1!C8</f>
        <v>13364</v>
      </c>
      <c r="D10" s="2">
        <f>Sheet1!D8</f>
        <v>898</v>
      </c>
      <c r="E10" s="2">
        <f>Sheet1!J8</f>
        <v>4015</v>
      </c>
      <c r="F10" s="7">
        <f>Sheet4!I10</f>
        <v>9000</v>
      </c>
      <c r="G10" s="7">
        <f>Sheet4!J10</f>
        <v>3960</v>
      </c>
      <c r="H10" s="7">
        <f>Sheet2!P7</f>
        <v>7173</v>
      </c>
      <c r="I10" s="10">
        <f>Sheet1!AA8</f>
        <v>4.03</v>
      </c>
      <c r="J10" s="10">
        <f>(Sheet1!Z8)*100</f>
        <v>0.94475355505381253</v>
      </c>
      <c r="K10" s="10">
        <f>(Sheet1!AB8)*100</f>
        <v>-1.6301810225825886</v>
      </c>
      <c r="L10" s="10">
        <f>(Sheet1!AD8)*100</f>
        <v>28.606453243071229</v>
      </c>
      <c r="M10" s="10">
        <f>(Sheet1!AE8)*100</f>
        <v>3.2947535550538127</v>
      </c>
      <c r="N10" s="10">
        <f>Sheet4!M10</f>
        <v>0.5520702634880803</v>
      </c>
      <c r="O10" s="10">
        <f>Sheet4!R10</f>
        <v>0.17916027221055211</v>
      </c>
      <c r="P10" s="10">
        <f>Sheet4!S10</f>
        <v>0.26876946430136761</v>
      </c>
      <c r="Q10" s="10">
        <f>Sheet4!P10</f>
        <v>0.24501202215164436</v>
      </c>
    </row>
    <row r="11" spans="1:19" x14ac:dyDescent="0.3">
      <c r="A11">
        <f>Sheet4!A11</f>
        <v>1899</v>
      </c>
      <c r="B11" s="2">
        <f>Sheet1!B9</f>
        <v>22379</v>
      </c>
      <c r="C11" s="2">
        <f>Sheet1!C9</f>
        <v>18927</v>
      </c>
      <c r="D11" s="2">
        <f>Sheet1!D9</f>
        <v>1330</v>
      </c>
      <c r="E11" s="2">
        <f>Sheet1!J9</f>
        <v>3964</v>
      </c>
      <c r="F11" s="7">
        <f>Sheet4!I11</f>
        <v>12000</v>
      </c>
      <c r="G11" s="7">
        <f>Sheet4!J11</f>
        <v>5640</v>
      </c>
      <c r="H11" s="7">
        <f>Sheet2!P8</f>
        <v>10422</v>
      </c>
      <c r="I11" s="10">
        <f>Sheet1!AA9</f>
        <v>3.85</v>
      </c>
      <c r="J11" s="10">
        <f>(Sheet1!Z9)*100</f>
        <v>0.92235979134182755</v>
      </c>
      <c r="K11" s="10">
        <f>(Sheet1!AB9)*100</f>
        <v>0.91933726897972523</v>
      </c>
      <c r="L11" s="10">
        <f>(Sheet1!AD9)*100</f>
        <v>37.713445975374981</v>
      </c>
      <c r="M11" s="10">
        <f>(Sheet1!AE9)*100</f>
        <v>3.0923597913418277</v>
      </c>
      <c r="N11" s="10">
        <f>Sheet4!M11</f>
        <v>0.54116292458261372</v>
      </c>
      <c r="O11" s="10">
        <f>Sheet4!R11</f>
        <v>0.15943276411622292</v>
      </c>
      <c r="P11" s="10">
        <f>Sheet4!S11</f>
        <v>0.29940431130116335</v>
      </c>
      <c r="Q11" s="10">
        <f>Sheet4!P11</f>
        <v>0.22756743538106167</v>
      </c>
    </row>
    <row r="12" spans="1:19" x14ac:dyDescent="0.3">
      <c r="A12">
        <f>Sheet4!A12</f>
        <v>1900</v>
      </c>
      <c r="B12" s="2">
        <f>Sheet1!B10</f>
        <v>28783</v>
      </c>
      <c r="C12" s="2">
        <f>Sheet1!C10</f>
        <v>23585</v>
      </c>
      <c r="D12" s="2">
        <f>Sheet1!D10</f>
        <v>1567</v>
      </c>
      <c r="E12" s="2">
        <f>Sheet1!J10</f>
        <v>3922</v>
      </c>
      <c r="F12" s="7">
        <f>Sheet4!I12</f>
        <v>12000</v>
      </c>
      <c r="G12" s="7">
        <f>Sheet4!J12</f>
        <v>5796</v>
      </c>
      <c r="H12" s="7">
        <f>Sheet2!P9</f>
        <v>12561</v>
      </c>
      <c r="I12" s="10">
        <f>Sheet1!AA10</f>
        <v>3.89</v>
      </c>
      <c r="J12" s="10">
        <f>(Sheet1!Z10)*100</f>
        <v>0.94617678164067676</v>
      </c>
      <c r="K12" s="10">
        <f>(Sheet1!AB10)*100</f>
        <v>2.6429651758192119</v>
      </c>
      <c r="L12" s="10">
        <f>(Sheet1!AD10)*100</f>
        <v>43.203289737006756</v>
      </c>
      <c r="M12" s="10">
        <f>(Sheet1!AE10)*100</f>
        <v>3.1561767816406778</v>
      </c>
      <c r="N12" s="10">
        <f>Sheet4!M12</f>
        <v>0.46142823023644614</v>
      </c>
      <c r="O12" s="10">
        <f>Sheet4!R12</f>
        <v>0.15731447463923146</v>
      </c>
      <c r="P12" s="10">
        <f>Sheet4!S12</f>
        <v>0.38125729512432249</v>
      </c>
      <c r="Q12" s="10">
        <f>Sheet4!P12</f>
        <v>0.25424861319510872</v>
      </c>
    </row>
    <row r="13" spans="1:19" x14ac:dyDescent="0.3">
      <c r="A13">
        <f>Sheet4!A13</f>
        <v>1901</v>
      </c>
      <c r="B13" s="2">
        <f>Sheet1!B11</f>
        <v>32338</v>
      </c>
      <c r="C13" s="2">
        <f>Sheet1!C11</f>
        <v>25254</v>
      </c>
      <c r="D13" s="2">
        <f>Sheet1!D11</f>
        <v>1132</v>
      </c>
      <c r="E13" s="2">
        <f>Sheet1!J11</f>
        <v>4464</v>
      </c>
      <c r="F13" s="7">
        <f>Sheet4!I13</f>
        <v>15000</v>
      </c>
      <c r="G13" s="7">
        <f>Sheet4!J13</f>
        <v>7665</v>
      </c>
      <c r="H13" s="7">
        <f>Sheet2!P10</f>
        <v>15881</v>
      </c>
      <c r="I13" s="10">
        <f>Sheet1!AA11</f>
        <v>3.83</v>
      </c>
      <c r="J13" s="10">
        <f>(Sheet1!Z11)*100</f>
        <v>0.9761604718431639</v>
      </c>
      <c r="K13" s="10">
        <f>(Sheet1!AB11)*100</f>
        <v>3.886851848113948</v>
      </c>
      <c r="L13" s="10">
        <f>(Sheet1!AD11)*100</f>
        <v>27.263375893457031</v>
      </c>
      <c r="M13" s="10">
        <f>(Sheet1!AE11)*100</f>
        <v>3.1261604718431646</v>
      </c>
      <c r="N13" s="10">
        <f>Sheet4!M13</f>
        <v>0.482652225930357</v>
      </c>
      <c r="O13" s="10">
        <f>Sheet4!R13</f>
        <v>9.444175909368771E-2</v>
      </c>
      <c r="P13" s="10">
        <f>Sheet4!S13</f>
        <v>0.42290601497595537</v>
      </c>
      <c r="Q13" s="10">
        <f>Sheet4!P13</f>
        <v>0.16365056913520382</v>
      </c>
    </row>
    <row r="14" spans="1:19" x14ac:dyDescent="0.3">
      <c r="A14">
        <f>Sheet4!A14</f>
        <v>1902</v>
      </c>
      <c r="B14" s="2">
        <f>Sheet1!B12</f>
        <v>36686</v>
      </c>
      <c r="C14" s="2">
        <f>Sheet1!C12</f>
        <v>28845</v>
      </c>
      <c r="D14" s="2">
        <f>Sheet1!D12</f>
        <v>1908</v>
      </c>
      <c r="E14" s="2">
        <f>Sheet1!J12</f>
        <v>5432</v>
      </c>
      <c r="F14" s="7">
        <f>Sheet4!I14</f>
        <v>18000</v>
      </c>
      <c r="G14" s="7">
        <f>Sheet4!J14</f>
        <v>9666</v>
      </c>
      <c r="H14" s="7">
        <f>Sheet2!P11</f>
        <v>19415</v>
      </c>
      <c r="I14" s="10">
        <f>Sheet1!AA12</f>
        <v>3.84</v>
      </c>
      <c r="J14" s="10">
        <f>(Sheet1!Z12)*100</f>
        <v>0.99032579653502617</v>
      </c>
      <c r="K14" s="10">
        <f>(Sheet1!AB12)*100</f>
        <v>2.9497726551644732</v>
      </c>
      <c r="L14" s="10">
        <f>(Sheet1!AD12)*100</f>
        <v>38.041850311115368</v>
      </c>
      <c r="M14" s="10">
        <f>(Sheet1!AE12)*100</f>
        <v>3.1503257965350264</v>
      </c>
      <c r="N14" s="10">
        <f>Sheet4!M14</f>
        <v>0.49786247746587692</v>
      </c>
      <c r="O14" s="10">
        <f>Sheet4!R14</f>
        <v>0.12300999685891527</v>
      </c>
      <c r="P14" s="10">
        <f>Sheet4!S14</f>
        <v>0.37912752567520785</v>
      </c>
      <c r="Q14" s="10">
        <f>Sheet4!P14</f>
        <v>0.1981244167615748</v>
      </c>
    </row>
    <row r="15" spans="1:19" x14ac:dyDescent="0.3">
      <c r="A15">
        <f>Sheet4!A15</f>
        <v>1903</v>
      </c>
      <c r="B15" s="2">
        <f>Sheet1!B13</f>
        <v>41700</v>
      </c>
      <c r="C15" s="2">
        <f>Sheet1!C13</f>
        <v>34918</v>
      </c>
      <c r="D15" s="2">
        <f>Sheet1!D13</f>
        <v>2028</v>
      </c>
      <c r="E15" s="2">
        <f>Sheet1!J13</f>
        <v>6924</v>
      </c>
      <c r="F15" s="7">
        <f>Sheet4!I15</f>
        <v>17000</v>
      </c>
      <c r="G15" s="7">
        <f>Sheet4!J15</f>
        <v>9316</v>
      </c>
      <c r="H15" s="7">
        <f>Sheet2!P12</f>
        <v>18126</v>
      </c>
      <c r="I15" s="10">
        <f>Sheet1!AA13</f>
        <v>4.03</v>
      </c>
      <c r="J15" s="10">
        <f>(Sheet1!Z13)*100</f>
        <v>0.97767126030732288</v>
      </c>
      <c r="K15" s="10">
        <f>(Sheet1!AB13)*100</f>
        <v>1.5285662289548529</v>
      </c>
      <c r="L15" s="10">
        <f>(Sheet1!AD13)*100</f>
        <v>33.216241413836649</v>
      </c>
      <c r="M15" s="10">
        <f>(Sheet1!AE13)*100</f>
        <v>3.3276712603073229</v>
      </c>
      <c r="N15" s="10">
        <f>Sheet4!M15</f>
        <v>0.51395785060134613</v>
      </c>
      <c r="O15" s="10">
        <f>Sheet4!R15</f>
        <v>0.15135557400932451</v>
      </c>
      <c r="P15" s="10">
        <f>Sheet4!S15</f>
        <v>0.33468657538932933</v>
      </c>
      <c r="Q15" s="10">
        <f>Sheet4!P15</f>
        <v>0.22749514501063173</v>
      </c>
    </row>
    <row r="16" spans="1:19" x14ac:dyDescent="0.3">
      <c r="A16">
        <f>Sheet4!A16</f>
        <v>1904</v>
      </c>
      <c r="B16" s="2">
        <f>Sheet1!B14</f>
        <v>39231</v>
      </c>
      <c r="C16" s="2">
        <f>Sheet1!C14</f>
        <v>33528</v>
      </c>
      <c r="D16" s="2">
        <f>Sheet1!D14</f>
        <v>1778</v>
      </c>
      <c r="E16" s="2">
        <f>Sheet1!J14</f>
        <v>7860</v>
      </c>
      <c r="F16" s="7">
        <f>Sheet4!I16</f>
        <v>18000</v>
      </c>
      <c r="G16" s="7">
        <f>Sheet4!J16</f>
        <v>9684</v>
      </c>
      <c r="H16" s="7">
        <f>Sheet2!P13</f>
        <v>17165</v>
      </c>
      <c r="I16" s="10">
        <f>Sheet1!AA14</f>
        <v>3.98</v>
      </c>
      <c r="J16" s="10">
        <f>(Sheet1!Z14)*100</f>
        <v>0.97072549554574217</v>
      </c>
      <c r="K16" s="10">
        <f>(Sheet1!AB14)*100</f>
        <v>0.72640297236121754</v>
      </c>
      <c r="L16" s="10">
        <f>(Sheet1!AD14)*100</f>
        <v>27.009506299884045</v>
      </c>
      <c r="M16" s="10">
        <f>(Sheet1!AE14)*100</f>
        <v>3.2707254955457428</v>
      </c>
      <c r="N16" s="10">
        <f>Sheet4!M16</f>
        <v>0.56417127876492867</v>
      </c>
      <c r="O16" s="10">
        <f>Sheet4!R16</f>
        <v>0.15007710488341353</v>
      </c>
      <c r="P16" s="10">
        <f>Sheet4!S16</f>
        <v>0.2857516163516578</v>
      </c>
      <c r="Q16" s="10">
        <f>Sheet4!P16</f>
        <v>0.21011892825970119</v>
      </c>
    </row>
    <row r="17" spans="1:17" x14ac:dyDescent="0.3">
      <c r="A17">
        <f>Sheet4!A17</f>
        <v>1905</v>
      </c>
      <c r="B17" s="2">
        <f>Sheet1!B15</f>
        <v>43147</v>
      </c>
      <c r="C17" s="2">
        <f>Sheet1!C15</f>
        <v>37025</v>
      </c>
      <c r="D17" s="2">
        <f>Sheet1!D15</f>
        <v>1838</v>
      </c>
      <c r="E17" s="2">
        <f>Sheet1!J15</f>
        <v>8359</v>
      </c>
      <c r="F17" s="7">
        <f>Sheet4!I17</f>
        <v>22000</v>
      </c>
      <c r="G17" s="7">
        <f>Sheet4!J17</f>
        <v>12342</v>
      </c>
      <c r="H17" s="7">
        <f>Sheet2!P14</f>
        <v>20302</v>
      </c>
      <c r="I17" s="10">
        <f>Sheet1!AA15</f>
        <v>3.89</v>
      </c>
      <c r="J17" s="10">
        <f>(Sheet1!Z15)*100</f>
        <v>0.95768381191776597</v>
      </c>
      <c r="K17" s="10">
        <f>(Sheet1!AB15)*100</f>
        <v>0.78915412778173266</v>
      </c>
      <c r="L17" s="10">
        <f>(Sheet1!AD15)*100</f>
        <v>26.220327182265336</v>
      </c>
      <c r="M17" s="10">
        <f>(Sheet1!AE15)*100</f>
        <v>3.1676838119177666</v>
      </c>
      <c r="N17" s="10">
        <f>Sheet4!M17</f>
        <v>0.60792040193084429</v>
      </c>
      <c r="O17" s="10">
        <f>Sheet4!R17</f>
        <v>0.12981724220348925</v>
      </c>
      <c r="P17" s="10">
        <f>Sheet4!S17</f>
        <v>0.26226235586566649</v>
      </c>
      <c r="Q17" s="10">
        <f>Sheet4!P17</f>
        <v>0.17596667763350712</v>
      </c>
    </row>
    <row r="18" spans="1:17" x14ac:dyDescent="0.3">
      <c r="A18">
        <f>Sheet4!A18</f>
        <v>1906</v>
      </c>
      <c r="B18" s="2">
        <f>Sheet1!B16</f>
        <v>60072</v>
      </c>
      <c r="C18" s="2">
        <f>Sheet1!C16</f>
        <v>53107</v>
      </c>
      <c r="D18" s="2">
        <f>Sheet1!D16</f>
        <v>2834</v>
      </c>
      <c r="E18" s="2">
        <f>Sheet1!J16</f>
        <v>9347</v>
      </c>
      <c r="F18" s="7">
        <f>Sheet4!I18</f>
        <v>28000</v>
      </c>
      <c r="G18" s="7">
        <f>Sheet4!J18</f>
        <v>16156</v>
      </c>
      <c r="H18" s="7">
        <f>Sheet2!P15</f>
        <v>25955</v>
      </c>
      <c r="I18" s="10">
        <f>Sheet1!AA16</f>
        <v>4</v>
      </c>
      <c r="J18" s="10">
        <f>(Sheet1!Z16)*100</f>
        <v>0.95127642462684103</v>
      </c>
      <c r="K18" s="10">
        <f>(Sheet1!AB16)*100</f>
        <v>1.6103109466972132</v>
      </c>
      <c r="L18" s="10">
        <f>(Sheet1!AD16)*100</f>
        <v>34.149098699598603</v>
      </c>
      <c r="M18" s="10">
        <f>(Sheet1!AE16)*100</f>
        <v>3.2712764246268415</v>
      </c>
      <c r="N18" s="10">
        <f>Sheet4!M18</f>
        <v>0.62246195338085142</v>
      </c>
      <c r="O18" s="10">
        <f>Sheet4!R18</f>
        <v>0.14745261843904919</v>
      </c>
      <c r="P18" s="10">
        <f>Sheet4!S18</f>
        <v>0.23008542818009939</v>
      </c>
      <c r="Q18" s="10">
        <f>Sheet4!P18</f>
        <v>0.1915181551772753</v>
      </c>
    </row>
    <row r="19" spans="1:17" x14ac:dyDescent="0.3">
      <c r="A19">
        <f>Sheet4!A19</f>
        <v>1907</v>
      </c>
      <c r="B19" s="2">
        <f>Sheet1!B17</f>
        <v>70977</v>
      </c>
      <c r="C19" s="2">
        <f>Sheet1!C17</f>
        <v>65536</v>
      </c>
      <c r="D19" s="2">
        <f>Sheet1!D17</f>
        <v>3746</v>
      </c>
      <c r="E19" s="2">
        <f>Sheet1!J17</f>
        <v>16144</v>
      </c>
      <c r="F19" s="7">
        <f>Sheet4!I19</f>
        <v>20000</v>
      </c>
      <c r="G19" s="7">
        <f>Sheet4!J19</f>
        <v>11960</v>
      </c>
      <c r="H19" s="7">
        <f>Sheet2!P16</f>
        <v>21147</v>
      </c>
      <c r="I19" s="10">
        <f>Sheet1!AA17</f>
        <v>4.2699999999999996</v>
      </c>
      <c r="J19" s="10">
        <f>(Sheet1!Z17)*100</f>
        <v>0.96712760598938652</v>
      </c>
      <c r="K19" s="10">
        <f>(Sheet1!AB17)*100</f>
        <v>2.3638926050073561</v>
      </c>
      <c r="L19" s="10">
        <f>(Sheet1!AD17)*100</f>
        <v>26.625411766242035</v>
      </c>
      <c r="M19" s="10">
        <f>(Sheet1!AE17)*100</f>
        <v>3.5571276059893866</v>
      </c>
      <c r="N19" s="10">
        <f>Sheet4!M19</f>
        <v>0.56556485553506408</v>
      </c>
      <c r="O19" s="10">
        <f>Sheet4!R19</f>
        <v>0.24774956322400943</v>
      </c>
      <c r="P19" s="10">
        <f>Sheet4!S19</f>
        <v>0.18668558124092649</v>
      </c>
      <c r="Q19" s="10">
        <f>Sheet4!P19</f>
        <v>0.30461720278120358</v>
      </c>
    </row>
    <row r="20" spans="1:17" x14ac:dyDescent="0.3">
      <c r="A20">
        <f>Sheet4!A20</f>
        <v>1908</v>
      </c>
      <c r="B20" s="2">
        <f>Sheet1!B18</f>
        <v>44541</v>
      </c>
      <c r="C20" s="2">
        <f>Sheet1!C18</f>
        <v>41650</v>
      </c>
      <c r="D20" s="2">
        <f>Sheet1!D18</f>
        <v>1524</v>
      </c>
      <c r="E20" s="2">
        <f>Sheet1!J18</f>
        <v>17160</v>
      </c>
      <c r="F20" s="7">
        <f>Sheet4!I20</f>
        <v>23000</v>
      </c>
      <c r="G20" s="7">
        <f>Sheet4!J20</f>
        <v>12604</v>
      </c>
      <c r="H20" s="7">
        <f>Sheet2!P17</f>
        <v>17019</v>
      </c>
      <c r="I20" s="10">
        <f>Sheet1!AA18</f>
        <v>4.22</v>
      </c>
      <c r="J20" s="10">
        <f>(Sheet1!Z18)*100</f>
        <v>0.98390731750072136</v>
      </c>
      <c r="K20" s="10">
        <f>(Sheet1!AB18)*100</f>
        <v>1.9046215435482239</v>
      </c>
      <c r="L20" s="10">
        <f>(Sheet1!AD18)*100</f>
        <v>12.349556358589297</v>
      </c>
      <c r="M20" s="10">
        <f>(Sheet1!AE18)*100</f>
        <v>3.5239073175007212</v>
      </c>
      <c r="N20" s="10">
        <f>Sheet4!M20</f>
        <v>0.7405840531171044</v>
      </c>
      <c r="O20" s="10">
        <f>Sheet4!R20</f>
        <v>0.17063656783364822</v>
      </c>
      <c r="P20" s="10">
        <f>Sheet4!S20</f>
        <v>8.8779379049247376E-2</v>
      </c>
      <c r="Q20" s="10">
        <f>Sheet4!P20</f>
        <v>0.18726153020506583</v>
      </c>
    </row>
    <row r="21" spans="1:17" x14ac:dyDescent="0.3">
      <c r="A21">
        <f>Sheet4!A21</f>
        <v>1909</v>
      </c>
      <c r="B21" s="2">
        <f>Sheet1!B19</f>
        <v>51657</v>
      </c>
      <c r="C21" s="2">
        <f>Sheet1!C19</f>
        <v>46951</v>
      </c>
      <c r="D21" s="2">
        <f>Sheet1!D19</f>
        <v>2448</v>
      </c>
      <c r="E21" s="2">
        <f>Sheet1!J19</f>
        <v>14449</v>
      </c>
      <c r="F21" s="7">
        <f>Sheet4!I21</f>
        <v>30000</v>
      </c>
      <c r="G21" s="7">
        <f>Sheet4!J21</f>
        <v>17970</v>
      </c>
      <c r="H21" s="7">
        <f>Sheet2!P18</f>
        <v>25124</v>
      </c>
      <c r="I21" s="10">
        <f>Sheet1!AA19</f>
        <v>4.07</v>
      </c>
      <c r="J21" s="10">
        <f>(Sheet1!Z19)*100</f>
        <v>0.98170332494770274</v>
      </c>
      <c r="K21" s="10">
        <f>(Sheet1!AB19)*100</f>
        <v>1.4506416300434033</v>
      </c>
      <c r="L21" s="10">
        <f>(Sheet1!AD19)*100</f>
        <v>20.78918341338629</v>
      </c>
      <c r="M21" s="10">
        <f>(Sheet1!AE19)*100</f>
        <v>3.3717033249477031</v>
      </c>
      <c r="N21" s="10">
        <f>Sheet4!M21</f>
        <v>0.71525234835217322</v>
      </c>
      <c r="O21" s="10">
        <f>Sheet4!R21</f>
        <v>0.14505996100037805</v>
      </c>
      <c r="P21" s="10">
        <f>Sheet4!S21</f>
        <v>0.13968769064744874</v>
      </c>
      <c r="Q21" s="10">
        <f>Sheet4!P21</f>
        <v>0.16861314132485958</v>
      </c>
    </row>
    <row r="22" spans="1:17" x14ac:dyDescent="0.3">
      <c r="A22">
        <f>Sheet4!A22</f>
        <v>1910</v>
      </c>
      <c r="B22" s="2">
        <f>Sheet1!B20</f>
        <v>71479</v>
      </c>
      <c r="C22" s="2">
        <f>Sheet1!C20</f>
        <v>63135</v>
      </c>
      <c r="D22" s="2">
        <f>Sheet1!D20</f>
        <v>4661</v>
      </c>
      <c r="E22" s="2">
        <f>Sheet1!J20</f>
        <v>18567</v>
      </c>
      <c r="F22" s="7">
        <f>Sheet4!I22</f>
        <v>32000</v>
      </c>
      <c r="G22" s="7">
        <f>Sheet4!J22</f>
        <v>20832</v>
      </c>
      <c r="H22" s="7">
        <f>Sheet2!P19</f>
        <v>33837</v>
      </c>
      <c r="I22" s="10">
        <f>Sheet1!AA20</f>
        <v>4.18</v>
      </c>
      <c r="J22" s="10">
        <f>(Sheet1!Z20)*100</f>
        <v>0.97181662757020515</v>
      </c>
      <c r="K22" s="10">
        <f>(Sheet1!AB20)*100</f>
        <v>1.0245488265542946</v>
      </c>
      <c r="L22" s="10">
        <f>(Sheet1!AD20)*100</f>
        <v>29.488145814726767</v>
      </c>
      <c r="M22" s="10">
        <f>(Sheet1!AE20)*100</f>
        <v>3.4718166275702051</v>
      </c>
      <c r="N22" s="10">
        <f>Sheet4!M22</f>
        <v>0.6156574164376275</v>
      </c>
      <c r="O22" s="10">
        <f>Sheet4!R22</f>
        <v>0.18808599190453054</v>
      </c>
      <c r="P22" s="10">
        <f>Sheet4!S22</f>
        <v>0.19625659165784196</v>
      </c>
      <c r="Q22" s="10">
        <f>Sheet4!P22</f>
        <v>0.23401248452225101</v>
      </c>
    </row>
    <row r="23" spans="1:17" x14ac:dyDescent="0.3">
      <c r="A23">
        <f>Sheet4!A23</f>
        <v>1911</v>
      </c>
      <c r="B23" s="2">
        <f>Sheet1!B21</f>
        <v>70384</v>
      </c>
      <c r="C23" s="2">
        <f>Sheet1!C21</f>
        <v>62461</v>
      </c>
      <c r="D23" s="2">
        <f>Sheet1!D21</f>
        <v>3114</v>
      </c>
      <c r="E23" s="2">
        <f>Sheet1!J21</f>
        <v>19987</v>
      </c>
      <c r="F23" s="7">
        <f>Sheet4!I23</f>
        <v>41000</v>
      </c>
      <c r="G23" s="7">
        <f>Sheet4!J23</f>
        <v>25912</v>
      </c>
      <c r="H23" s="7">
        <f>Sheet2!P20</f>
        <v>36949</v>
      </c>
      <c r="I23" s="10">
        <f>Sheet1!AA21</f>
        <v>4.1900000000000004</v>
      </c>
      <c r="J23" s="10">
        <f>(Sheet1!Z21)*100</f>
        <v>0.96728137730104702</v>
      </c>
      <c r="K23" s="10">
        <f>(Sheet1!AB21)*100</f>
        <v>0.69860341259362357</v>
      </c>
      <c r="L23" s="10">
        <f>(Sheet1!AD21)*100</f>
        <v>20.147648346796608</v>
      </c>
      <c r="M23" s="10">
        <f>(Sheet1!AE21)*100</f>
        <v>3.4772813773010474</v>
      </c>
      <c r="N23" s="10">
        <f>Sheet4!M23</f>
        <v>0.70129096863243934</v>
      </c>
      <c r="O23" s="10">
        <f>Sheet4!R23</f>
        <v>0.1359482418920942</v>
      </c>
      <c r="P23" s="10">
        <f>Sheet4!S23</f>
        <v>0.16276078947546646</v>
      </c>
      <c r="Q23" s="10">
        <f>Sheet4!P23</f>
        <v>0.16237682156205047</v>
      </c>
    </row>
    <row r="24" spans="1:17" x14ac:dyDescent="0.3">
      <c r="A24">
        <f>Sheet4!A24</f>
        <v>1912</v>
      </c>
      <c r="B24" s="2">
        <f>Sheet1!B22</f>
        <v>89182</v>
      </c>
      <c r="C24" s="2">
        <f>Sheet1!C22</f>
        <v>81074</v>
      </c>
      <c r="D24" s="2">
        <f>Sheet1!D22</f>
        <v>4046</v>
      </c>
      <c r="E24" s="2">
        <f>Sheet1!J22</f>
        <v>26132</v>
      </c>
      <c r="F24" s="7">
        <f>Sheet4!I24</f>
        <v>56000</v>
      </c>
      <c r="G24" s="7">
        <f>Sheet4!J24</f>
        <v>36456</v>
      </c>
      <c r="H24" s="7">
        <f>Sheet2!P21</f>
        <v>48610</v>
      </c>
      <c r="I24" s="10">
        <f>Sheet1!AA22</f>
        <v>4.2300000000000004</v>
      </c>
      <c r="J24" s="10">
        <f>(Sheet1!Z22)*100</f>
        <v>0.96957170427195649</v>
      </c>
      <c r="K24" s="10">
        <f>(Sheet1!AB22)*100</f>
        <v>1.0376972359572134</v>
      </c>
      <c r="L24" s="10">
        <f>(Sheet1!AD22)*100</f>
        <v>19.805473236747428</v>
      </c>
      <c r="M24" s="10">
        <f>(Sheet1!AE22)*100</f>
        <v>3.5195717042719563</v>
      </c>
      <c r="N24" s="10">
        <f>Sheet4!M24</f>
        <v>0.74996914215182064</v>
      </c>
      <c r="O24" s="10">
        <f>Sheet4!R24</f>
        <v>0.12589729180174869</v>
      </c>
      <c r="P24" s="10">
        <f>Sheet4!S24</f>
        <v>0.12413356604643067</v>
      </c>
      <c r="Q24" s="10">
        <f>Sheet4!P24</f>
        <v>0.14374028609985828</v>
      </c>
    </row>
    <row r="25" spans="1:17" x14ac:dyDescent="0.3">
      <c r="A25">
        <f>Sheet4!A25</f>
        <v>1913</v>
      </c>
      <c r="B25" s="2">
        <f>Sheet1!B23</f>
        <v>106477</v>
      </c>
      <c r="C25" s="2">
        <f>Sheet1!C23</f>
        <v>96602</v>
      </c>
      <c r="D25" s="2">
        <f>Sheet1!D23</f>
        <v>6502</v>
      </c>
      <c r="E25" s="2">
        <f>Sheet1!J23</f>
        <v>30486</v>
      </c>
      <c r="F25" s="7">
        <f>Sheet4!I25</f>
        <v>56000</v>
      </c>
      <c r="G25" s="7">
        <f>Sheet4!J25</f>
        <v>38584</v>
      </c>
      <c r="H25" s="7">
        <f>Sheet2!P22</f>
        <v>54961</v>
      </c>
      <c r="I25" s="10">
        <f>Sheet1!AA23</f>
        <v>4.4400000000000004</v>
      </c>
      <c r="J25" s="10">
        <f>(Sheet1!Z23)*100</f>
        <v>0.98098589174041084</v>
      </c>
      <c r="K25" s="10">
        <f>(Sheet1!AB23)*100</f>
        <v>1.4153642726635773</v>
      </c>
      <c r="L25" s="10">
        <f>(Sheet1!AD23)*100</f>
        <v>25.635310607493107</v>
      </c>
      <c r="M25" s="10">
        <f>(Sheet1!AE23)*100</f>
        <v>3.7409858917404115</v>
      </c>
      <c r="N25" s="10">
        <f>Sheet4!M25</f>
        <v>0.70202507232401157</v>
      </c>
      <c r="O25" s="10">
        <f>Sheet4!R25</f>
        <v>0.16801185077925379</v>
      </c>
      <c r="P25" s="10">
        <f>Sheet4!S25</f>
        <v>0.12996307689673464</v>
      </c>
      <c r="Q25" s="10">
        <f>Sheet4!P25</f>
        <v>0.19310887425327389</v>
      </c>
    </row>
    <row r="26" spans="1:17" x14ac:dyDescent="0.3">
      <c r="A26">
        <f>Sheet4!A26</f>
        <v>1914</v>
      </c>
      <c r="B26" s="2">
        <f>Sheet1!B24</f>
        <v>90468</v>
      </c>
      <c r="C26" s="2">
        <f>Sheet1!C24</f>
        <v>81497</v>
      </c>
      <c r="D26" s="2">
        <f>Sheet1!D24</f>
        <v>4371</v>
      </c>
      <c r="E26" s="2">
        <f>Sheet1!J24</f>
        <v>31936</v>
      </c>
      <c r="F26" s="7">
        <f>Sheet4!I26</f>
        <v>41000</v>
      </c>
      <c r="G26" s="7">
        <f>Sheet4!J26</f>
        <v>28536</v>
      </c>
      <c r="H26" s="7">
        <f>Sheet2!P23</f>
        <v>41878</v>
      </c>
      <c r="I26" s="10">
        <f>Sheet1!AA24</f>
        <v>4.4400000000000004</v>
      </c>
      <c r="J26" s="10">
        <f>(Sheet1!Z24)*100</f>
        <v>0.98302403003237038</v>
      </c>
      <c r="K26" s="10">
        <f>(Sheet1!AB24)*100</f>
        <v>1.0562108809301307</v>
      </c>
      <c r="L26" s="10">
        <f>(Sheet1!AD24)*100</f>
        <v>18.198122572967019</v>
      </c>
      <c r="M26" s="10">
        <f>(Sheet1!AE24)*100</f>
        <v>3.7430240300323714</v>
      </c>
      <c r="N26" s="10">
        <f>Sheet4!M26</f>
        <v>0.68140789913558431</v>
      </c>
      <c r="O26" s="10">
        <f>Sheet4!R26</f>
        <v>0.17435469004768211</v>
      </c>
      <c r="P26" s="10">
        <f>Sheet4!S26</f>
        <v>0.14423741081673358</v>
      </c>
      <c r="Q26" s="10">
        <f>Sheet4!P26</f>
        <v>0.20374189319737029</v>
      </c>
    </row>
    <row r="27" spans="1:17" x14ac:dyDescent="0.3">
      <c r="A27">
        <f>Sheet4!A27</f>
        <v>1915</v>
      </c>
      <c r="B27" s="2">
        <f>Sheet1!B25</f>
        <v>85522</v>
      </c>
      <c r="C27" s="2">
        <f>Sheet1!C25</f>
        <v>76898</v>
      </c>
      <c r="D27" s="2">
        <f>Sheet1!D25</f>
        <v>5985</v>
      </c>
      <c r="E27" s="2">
        <f>Sheet1!J25</f>
        <v>30560</v>
      </c>
      <c r="F27" s="7">
        <f>Sheet4!I27</f>
        <v>51000</v>
      </c>
      <c r="G27" s="7">
        <f>Sheet4!J27</f>
        <v>33711</v>
      </c>
      <c r="H27" s="7">
        <f>Sheet2!P24</f>
        <v>48320</v>
      </c>
      <c r="I27" s="10">
        <f>Sheet1!AA25</f>
        <v>4.62</v>
      </c>
      <c r="J27" s="10">
        <f>(Sheet1!Z25)*100</f>
        <v>0.92814083671263414</v>
      </c>
      <c r="K27" s="10">
        <f>(Sheet1!AB25)*100</f>
        <v>0.7511484756114184</v>
      </c>
      <c r="L27" s="10">
        <f>(Sheet1!AD25)*100</f>
        <v>24.528524547833364</v>
      </c>
      <c r="M27" s="10">
        <f>(Sheet1!AE25)*100</f>
        <v>3.8681408367126342</v>
      </c>
      <c r="N27" s="10">
        <f>Sheet4!M27</f>
        <v>0.69766142384105956</v>
      </c>
      <c r="O27" s="10">
        <f>Sheet4!R27</f>
        <v>0.17925538129903962</v>
      </c>
      <c r="P27" s="10">
        <f>Sheet4!S27</f>
        <v>0.12308319485990082</v>
      </c>
      <c r="Q27" s="10">
        <f>Sheet4!P27</f>
        <v>0.20441549329232114</v>
      </c>
    </row>
    <row r="28" spans="1:17" x14ac:dyDescent="0.3">
      <c r="A28">
        <f>Sheet4!A28</f>
        <v>1916</v>
      </c>
      <c r="B28" s="2">
        <f>Sheet1!B26</f>
        <v>134242</v>
      </c>
      <c r="C28" s="2">
        <f>Sheet1!C26</f>
        <v>118948</v>
      </c>
      <c r="D28" s="2">
        <f>Sheet1!D26</f>
        <v>8828</v>
      </c>
      <c r="E28" s="2">
        <f>Sheet1!J26</f>
        <v>30768</v>
      </c>
      <c r="F28" s="7">
        <f>Sheet4!I28</f>
        <v>67000</v>
      </c>
      <c r="G28" s="7">
        <f>Sheet4!J28</f>
        <v>50317</v>
      </c>
      <c r="H28" s="7">
        <f>Sheet2!P25</f>
        <v>74439</v>
      </c>
      <c r="I28" s="10">
        <f>Sheet1!AA26</f>
        <v>4.49</v>
      </c>
      <c r="J28" s="10">
        <f>(Sheet1!Z26)*100</f>
        <v>0.83986022280893946</v>
      </c>
      <c r="K28" s="10">
        <f>(Sheet1!AB26)*100</f>
        <v>1.55</v>
      </c>
      <c r="L28" s="10">
        <f>(Sheet1!AD26)*100</f>
        <v>32.916736197847946</v>
      </c>
      <c r="M28" s="10">
        <f>(Sheet1!AE26)*100</f>
        <v>3.6498602228089401</v>
      </c>
      <c r="N28" s="10">
        <f>Sheet4!M28</f>
        <v>0.6759494351079407</v>
      </c>
      <c r="O28" s="10">
        <f>Sheet4!R28</f>
        <v>0.15131001096030539</v>
      </c>
      <c r="P28" s="10">
        <f>Sheet4!S28</f>
        <v>0.17274055393175392</v>
      </c>
      <c r="Q28" s="10">
        <f>Sheet4!P28</f>
        <v>0.1829051474473255</v>
      </c>
    </row>
    <row r="29" spans="1:17" x14ac:dyDescent="0.3">
      <c r="A29">
        <f>Sheet4!A29</f>
        <v>1917</v>
      </c>
      <c r="B29" s="2">
        <f>Sheet1!B27</f>
        <v>196926</v>
      </c>
      <c r="C29" s="2">
        <f>Sheet1!C27</f>
        <v>167922</v>
      </c>
      <c r="D29" s="2">
        <f>Sheet1!D27</f>
        <v>13288</v>
      </c>
      <c r="E29" s="2">
        <f>Sheet1!J27</f>
        <v>39733</v>
      </c>
      <c r="F29" s="7">
        <f>Sheet4!I29</f>
        <v>73000</v>
      </c>
      <c r="G29" s="7">
        <f>Sheet4!J29</f>
        <v>64459</v>
      </c>
      <c r="H29" s="7">
        <f>Sheet2!P26</f>
        <v>106751</v>
      </c>
      <c r="I29" s="10">
        <f>Sheet1!AA27</f>
        <v>4.79</v>
      </c>
      <c r="J29" s="10">
        <f>(Sheet1!Z27)*100</f>
        <v>0.78182017082386535</v>
      </c>
      <c r="K29" s="10">
        <f>(Sheet1!AB27)*100</f>
        <v>1.55</v>
      </c>
      <c r="L29" s="10">
        <f>(Sheet1!AD27)*100</f>
        <v>37.983423875552937</v>
      </c>
      <c r="M29" s="10">
        <f>(Sheet1!AE27)*100</f>
        <v>3.8918201708238649</v>
      </c>
      <c r="N29" s="10">
        <f>Sheet4!M29</f>
        <v>0.6038257252859458</v>
      </c>
      <c r="O29" s="10">
        <f>Sheet4!R29</f>
        <v>0.16155678823089634</v>
      </c>
      <c r="P29" s="10">
        <f>Sheet4!S29</f>
        <v>0.23461748648315786</v>
      </c>
      <c r="Q29" s="10">
        <f>Sheet4!P29</f>
        <v>0.21107980046285879</v>
      </c>
    </row>
    <row r="30" spans="1:17" x14ac:dyDescent="0.3">
      <c r="A30">
        <f>Sheet4!A30</f>
        <v>1918</v>
      </c>
      <c r="B30" s="2">
        <f>Sheet1!B28</f>
        <v>216815</v>
      </c>
      <c r="C30" s="2">
        <f>Sheet1!C28</f>
        <v>188440</v>
      </c>
      <c r="D30" s="2">
        <f>Sheet1!D28</f>
        <v>15224</v>
      </c>
      <c r="E30" s="2">
        <f>Sheet1!J28</f>
        <v>46978</v>
      </c>
      <c r="F30" s="7">
        <f>Sheet4!I30</f>
        <v>72000</v>
      </c>
      <c r="G30" s="7">
        <f>Sheet4!J30</f>
        <v>79704</v>
      </c>
      <c r="H30" s="7">
        <f>Sheet2!P27</f>
        <v>123303</v>
      </c>
      <c r="I30" s="10">
        <f>Sheet1!AA28</f>
        <v>5.23</v>
      </c>
      <c r="J30" s="10">
        <f>(Sheet1!Z28)*100</f>
        <v>0.78779953085551091</v>
      </c>
      <c r="K30" s="10">
        <f>(Sheet1!AB28)*100</f>
        <v>1.55</v>
      </c>
      <c r="L30" s="10">
        <f>(Sheet1!AD28)*100</f>
        <v>37.376761172474993</v>
      </c>
      <c r="M30" s="10">
        <f>(Sheet1!AE28)*100</f>
        <v>4.3377995308555111</v>
      </c>
      <c r="N30" s="10">
        <f>Sheet4!M30</f>
        <v>0.64640762998467194</v>
      </c>
      <c r="O30" s="10">
        <f>Sheet4!R30</f>
        <v>0.17339628993866957</v>
      </c>
      <c r="P30" s="10">
        <f>Sheet4!S30</f>
        <v>0.18019608007665849</v>
      </c>
      <c r="Q30" s="10">
        <f>Sheet4!P30</f>
        <v>0.21150946674527193</v>
      </c>
    </row>
    <row r="31" spans="1:17" x14ac:dyDescent="0.3">
      <c r="A31">
        <f>Sheet4!A31</f>
        <v>1919</v>
      </c>
      <c r="B31" s="2">
        <f>Sheet1!B29</f>
        <v>229980</v>
      </c>
      <c r="C31" s="2">
        <f>Sheet1!C29</f>
        <v>196856</v>
      </c>
      <c r="D31" s="2">
        <f>Sheet1!D29</f>
        <v>7689</v>
      </c>
      <c r="E31" s="2">
        <f>Sheet1!J29</f>
        <v>53792</v>
      </c>
      <c r="F31" s="7">
        <f>Sheet4!I31</f>
        <v>76000</v>
      </c>
      <c r="G31" s="7">
        <f>Sheet4!J31</f>
        <v>98268</v>
      </c>
      <c r="H31" s="7">
        <f>Sheet2!P28</f>
        <v>139081</v>
      </c>
      <c r="I31" s="10">
        <f>Sheet1!AA29</f>
        <v>5.29</v>
      </c>
      <c r="J31" s="10">
        <f>(Sheet1!Z29)*100</f>
        <v>0.81691023637139781</v>
      </c>
      <c r="K31" s="10">
        <f>(Sheet1!AB29)*100</f>
        <v>1.55</v>
      </c>
      <c r="L31" s="10">
        <f>(Sheet1!AD29)*100</f>
        <v>19.072413471053135</v>
      </c>
      <c r="M31" s="10">
        <f>(Sheet1!AE29)*100</f>
        <v>4.4269102363713984</v>
      </c>
      <c r="N31" s="10">
        <f>Sheet4!M31</f>
        <v>0.70655229686297916</v>
      </c>
      <c r="O31" s="10">
        <f>Sheet4!R31</f>
        <v>0.10395064868461275</v>
      </c>
      <c r="P31" s="10">
        <f>Sheet4!S31</f>
        <v>0.18949705445240811</v>
      </c>
      <c r="Q31" s="10">
        <f>Sheet4!P31</f>
        <v>0.12825449834038744</v>
      </c>
    </row>
    <row r="32" spans="1:17" x14ac:dyDescent="0.3">
      <c r="A32">
        <f>Sheet4!A32</f>
        <v>1920</v>
      </c>
      <c r="B32" s="2">
        <f>Sheet1!B30</f>
        <v>275758</v>
      </c>
      <c r="C32" s="2">
        <f>Sheet1!C30</f>
        <v>231494</v>
      </c>
      <c r="D32" s="2">
        <f>Sheet1!D30</f>
        <v>15579</v>
      </c>
      <c r="E32" s="2">
        <f>Sheet1!J30</f>
        <v>70209</v>
      </c>
      <c r="F32" s="7">
        <f>Sheet4!I32</f>
        <v>87000</v>
      </c>
      <c r="G32" s="7">
        <f>Sheet4!J32</f>
        <v>137948.94</v>
      </c>
      <c r="H32" s="7">
        <f>Sheet2!P29</f>
        <v>197791.94</v>
      </c>
      <c r="I32" s="10">
        <f>Sheet1!AA30</f>
        <v>5.81</v>
      </c>
      <c r="J32" s="10">
        <f>(Sheet1!Z30)*100</f>
        <v>0.91381447208428135</v>
      </c>
      <c r="K32" s="10">
        <f>(Sheet1!AB30)*100</f>
        <v>1.55</v>
      </c>
      <c r="L32" s="10">
        <f>(Sheet1!AD30)*100</f>
        <v>27.707214036242721</v>
      </c>
      <c r="M32" s="10">
        <f>(Sheet1!AE30)*100</f>
        <v>5.0438144720842821</v>
      </c>
      <c r="N32" s="10">
        <f>Sheet4!M32</f>
        <v>0.69744469870713643</v>
      </c>
      <c r="O32" s="10">
        <f>Sheet4!R32</f>
        <v>0.12103390942984867</v>
      </c>
      <c r="P32" s="10">
        <f>Sheet4!S32</f>
        <v>0.18152139186301491</v>
      </c>
      <c r="Q32" s="10">
        <f>Sheet4!P32</f>
        <v>0.14787669247134649</v>
      </c>
    </row>
    <row r="33" spans="1:17" x14ac:dyDescent="0.3">
      <c r="A33">
        <f>Sheet4!A33</f>
        <v>1921</v>
      </c>
      <c r="B33" s="2">
        <f>Sheet1!B31</f>
        <v>221008</v>
      </c>
      <c r="C33" s="2">
        <f>Sheet1!C31</f>
        <v>191332</v>
      </c>
      <c r="D33" s="2">
        <f>Sheet1!D31</f>
        <v>8487</v>
      </c>
      <c r="E33" s="2">
        <f>Sheet1!J31</f>
        <v>70919</v>
      </c>
      <c r="F33" s="7">
        <f>Sheet4!I33</f>
        <v>57000</v>
      </c>
      <c r="G33" s="7">
        <f>Sheet4!J33</f>
        <v>82169.262000000002</v>
      </c>
      <c r="H33" s="7">
        <f>Sheet2!P30</f>
        <v>120332.262</v>
      </c>
      <c r="I33" s="10">
        <f>Sheet1!AA31</f>
        <v>5.57</v>
      </c>
      <c r="J33" s="10">
        <f>(Sheet1!Z31)*100</f>
        <v>1.0736141166251945</v>
      </c>
      <c r="K33" s="10">
        <f>(Sheet1!AB31)*100</f>
        <v>1.55</v>
      </c>
      <c r="L33" s="10">
        <f>(Sheet1!AD31)*100</f>
        <v>17.246279128822209</v>
      </c>
      <c r="M33" s="10">
        <f>(Sheet1!AE31)*100</f>
        <v>4.9636141166251955</v>
      </c>
      <c r="N33" s="10">
        <f>Sheet4!M33</f>
        <v>0.68285313210517062</v>
      </c>
      <c r="O33" s="10">
        <f>Sheet4!R33</f>
        <v>0.15264855952761841</v>
      </c>
      <c r="P33" s="10">
        <f>Sheet4!S33</f>
        <v>0.16449830836721097</v>
      </c>
      <c r="Q33" s="10">
        <f>Sheet4!P33</f>
        <v>0.18270287308371952</v>
      </c>
    </row>
    <row r="34" spans="1:17" x14ac:dyDescent="0.3">
      <c r="A34">
        <f>Sheet4!A34</f>
        <v>1922</v>
      </c>
      <c r="B34" s="2">
        <f>Sheet1!B32</f>
        <v>200194</v>
      </c>
      <c r="C34" s="2">
        <f>Sheet1!C32</f>
        <v>169190</v>
      </c>
      <c r="D34" s="2">
        <f>Sheet1!D32</f>
        <v>12119</v>
      </c>
      <c r="E34" s="2">
        <f>Sheet1!J32</f>
        <v>64987</v>
      </c>
      <c r="F34" s="7">
        <f>Sheet4!I34</f>
        <v>66000</v>
      </c>
      <c r="G34" s="7">
        <f>Sheet4!J34</f>
        <v>93823.224000000002</v>
      </c>
      <c r="H34" s="7">
        <f>Sheet2!P31</f>
        <v>136946.22399999999</v>
      </c>
      <c r="I34" s="10">
        <f>Sheet1!AA32</f>
        <v>4.8499999999999996</v>
      </c>
      <c r="J34" s="10">
        <f>(Sheet1!Z32)*100</f>
        <v>1.0877041102082075</v>
      </c>
      <c r="K34" s="10">
        <f>(Sheet1!AB32)*100</f>
        <v>1.55</v>
      </c>
      <c r="L34" s="10">
        <f>(Sheet1!AD32)*100</f>
        <v>23.325098512165521</v>
      </c>
      <c r="M34" s="10">
        <f>(Sheet1!AE32)*100</f>
        <v>4.2577041102082074</v>
      </c>
      <c r="N34" s="10">
        <f>Sheet4!M34</f>
        <v>0.68510997426259823</v>
      </c>
      <c r="O34" s="10">
        <f>Sheet4!R34</f>
        <v>0.13299919806996446</v>
      </c>
      <c r="P34" s="10">
        <f>Sheet4!S34</f>
        <v>0.1818908276674373</v>
      </c>
      <c r="Q34" s="10">
        <f>Sheet4!P34</f>
        <v>0.16256900981902214</v>
      </c>
    </row>
    <row r="35" spans="1:17" x14ac:dyDescent="0.3">
      <c r="A35">
        <f>Sheet4!A35</f>
        <v>1923</v>
      </c>
      <c r="B35" s="2">
        <f>Sheet1!B33</f>
        <v>271310</v>
      </c>
      <c r="C35" s="2">
        <f>Sheet1!C33</f>
        <v>230718</v>
      </c>
      <c r="D35" s="2">
        <f>Sheet1!D33</f>
        <v>9442</v>
      </c>
      <c r="E35" s="2">
        <f>Sheet1!J33</f>
        <v>59625</v>
      </c>
      <c r="F35" s="7">
        <f>Sheet4!I35</f>
        <v>76000</v>
      </c>
      <c r="G35" s="7">
        <f>Sheet4!J35</f>
        <v>122195.68799999999</v>
      </c>
      <c r="H35" s="7">
        <f>Sheet2!P32</f>
        <v>172229.68799999999</v>
      </c>
      <c r="I35" s="10">
        <f>Sheet1!AA33</f>
        <v>4.9800000000000004</v>
      </c>
      <c r="J35" s="10">
        <f>(Sheet1!Z33)*100</f>
        <v>1.0115438799249759</v>
      </c>
      <c r="K35" s="10">
        <f>(Sheet1!AB33)*100</f>
        <v>-1.3092171128217922</v>
      </c>
      <c r="L35" s="10">
        <f>(Sheet1!AD33)*100</f>
        <v>22.929077504624949</v>
      </c>
      <c r="M35" s="10">
        <f>(Sheet1!AE33)*100</f>
        <v>4.3115438799249768</v>
      </c>
      <c r="N35" s="10">
        <f>Sheet4!M35</f>
        <v>0.70949259340236392</v>
      </c>
      <c r="O35" s="10">
        <f>Sheet4!R35</f>
        <v>0.10143417164981064</v>
      </c>
      <c r="P35" s="10">
        <f>Sheet4!S35</f>
        <v>0.18907323494782544</v>
      </c>
      <c r="Q35" s="10">
        <f>Sheet4!P35</f>
        <v>0.12508425670631851</v>
      </c>
    </row>
    <row r="36" spans="1:17" x14ac:dyDescent="0.3">
      <c r="A36">
        <f>Sheet4!A36</f>
        <v>1924</v>
      </c>
      <c r="B36" s="2">
        <f>Sheet1!B34</f>
        <v>299252</v>
      </c>
      <c r="C36" s="2">
        <f>Sheet1!C34</f>
        <v>252315</v>
      </c>
      <c r="D36" s="2">
        <f>Sheet1!D34</f>
        <v>13507</v>
      </c>
      <c r="E36" s="2">
        <f>Sheet1!J34</f>
        <v>57788</v>
      </c>
      <c r="F36" s="7">
        <f>Sheet4!I36</f>
        <v>73500</v>
      </c>
      <c r="G36" s="7">
        <f>Sheet4!J36</f>
        <v>121456.25099999999</v>
      </c>
      <c r="H36" s="7">
        <f>Sheet2!P33</f>
        <v>181900.25099999999</v>
      </c>
      <c r="I36" s="10">
        <f>Sheet1!AA34</f>
        <v>4.84</v>
      </c>
      <c r="J36" s="10">
        <f>(Sheet1!Z34)*100</f>
        <v>0.97880298098349228</v>
      </c>
      <c r="K36" s="10">
        <f>(Sheet1!AB34)*100</f>
        <v>-3.3751496416000282</v>
      </c>
      <c r="L36" s="10">
        <f>(Sheet1!AD34)*100</f>
        <v>31.778431299660227</v>
      </c>
      <c r="M36" s="10">
        <f>(Sheet1!AE34)*100</f>
        <v>4.1388029809834928</v>
      </c>
      <c r="N36" s="10">
        <f>Sheet4!M36</f>
        <v>0.66770799013355953</v>
      </c>
      <c r="O36" s="10">
        <f>Sheet4!R36</f>
        <v>0.12450249989060758</v>
      </c>
      <c r="P36" s="10">
        <f>Sheet4!S36</f>
        <v>0.2077895099758329</v>
      </c>
      <c r="Q36" s="10">
        <f>Sheet4!P36</f>
        <v>0.15715835811112464</v>
      </c>
    </row>
    <row r="37" spans="1:17" x14ac:dyDescent="0.3">
      <c r="A37">
        <f>Sheet4!A37</f>
        <v>1925</v>
      </c>
      <c r="B37" s="2">
        <f>Sheet1!B35</f>
        <v>290290</v>
      </c>
      <c r="C37" s="2">
        <f>Sheet1!C35</f>
        <v>244273</v>
      </c>
      <c r="D37" s="2">
        <f>Sheet1!D35</f>
        <v>11806</v>
      </c>
      <c r="E37" s="2">
        <f>Sheet1!J35</f>
        <v>57560</v>
      </c>
      <c r="F37" s="7">
        <f>Sheet4!I37</f>
        <v>71000</v>
      </c>
      <c r="G37" s="7">
        <f>Sheet4!J37</f>
        <v>120451.49999999999</v>
      </c>
      <c r="H37" s="7">
        <f>Sheet2!P34</f>
        <v>178274.5</v>
      </c>
      <c r="I37" s="10">
        <f>Sheet1!AA35</f>
        <v>4.7300000000000004</v>
      </c>
      <c r="J37" s="10">
        <f>(Sheet1!Z35)*100</f>
        <v>0.98020679636364672</v>
      </c>
      <c r="K37" s="10">
        <f>(Sheet1!AB35)*100</f>
        <v>0.25469503383043157</v>
      </c>
      <c r="L37" s="10">
        <f>(Sheet1!AD35)*100</f>
        <v>26.018523047616643</v>
      </c>
      <c r="M37" s="10">
        <f>(Sheet1!AE35)*100</f>
        <v>4.0302067963636476</v>
      </c>
      <c r="N37" s="10">
        <f>Sheet4!M37</f>
        <v>0.6756518739359807</v>
      </c>
      <c r="O37" s="10">
        <f>Sheet4!R37</f>
        <v>0.10465191386794698</v>
      </c>
      <c r="P37" s="10">
        <f>Sheet4!S37</f>
        <v>0.21969621219607233</v>
      </c>
      <c r="Q37" s="10">
        <f>Sheet4!P37</f>
        <v>0.13411688563306523</v>
      </c>
    </row>
    <row r="38" spans="1:17" x14ac:dyDescent="0.3">
      <c r="A38">
        <f>Sheet4!A38</f>
        <v>1926</v>
      </c>
      <c r="B38" s="2">
        <f>Sheet1!B36</f>
        <v>326974</v>
      </c>
      <c r="C38" s="2">
        <f>Sheet1!C36</f>
        <v>274296</v>
      </c>
      <c r="D38" s="2">
        <f>Sheet1!D36</f>
        <v>14411</v>
      </c>
      <c r="E38" s="2">
        <f>Sheet1!J36</f>
        <v>53116</v>
      </c>
      <c r="F38" s="7">
        <f>Sheet4!I38</f>
        <v>75700</v>
      </c>
      <c r="G38" s="7">
        <f>Sheet4!J38</f>
        <v>132068.64239999998</v>
      </c>
      <c r="H38" s="7">
        <f>Sheet2!P35</f>
        <v>199157.64239999998</v>
      </c>
      <c r="I38" s="10">
        <f>Sheet1!AA36</f>
        <v>4.47</v>
      </c>
      <c r="J38" s="10">
        <f>(Sheet1!Z36)*100</f>
        <v>0.98870194597748662</v>
      </c>
      <c r="K38" s="10">
        <f>(Sheet1!AB36)*100</f>
        <v>1.0612217891779803</v>
      </c>
      <c r="L38" s="10">
        <f>(Sheet1!AD36)*100</f>
        <v>31.816586776346234</v>
      </c>
      <c r="M38" s="10">
        <f>(Sheet1!AE36)*100</f>
        <v>3.7787019459774864</v>
      </c>
      <c r="N38" s="10">
        <f>Sheet4!M38</f>
        <v>0.66313620109413385</v>
      </c>
      <c r="O38" s="10">
        <f>Sheet4!R38</f>
        <v>0.10142423698137454</v>
      </c>
      <c r="P38" s="10">
        <f>Sheet4!S38</f>
        <v>0.23543956192449161</v>
      </c>
      <c r="Q38" s="10">
        <f>Sheet4!P38</f>
        <v>0.13265692537881202</v>
      </c>
    </row>
    <row r="39" spans="1:17" x14ac:dyDescent="0.3">
      <c r="A39">
        <f>Sheet4!A39</f>
        <v>1927</v>
      </c>
      <c r="B39" s="2">
        <f>Sheet1!B37</f>
        <v>312604</v>
      </c>
      <c r="C39" s="2">
        <f>Sheet1!C37</f>
        <v>263882</v>
      </c>
      <c r="D39" s="2">
        <f>Sheet1!D37</f>
        <v>11482</v>
      </c>
      <c r="E39" s="2">
        <f>Sheet1!J37</f>
        <v>52835</v>
      </c>
      <c r="F39" s="7">
        <f>Sheet4!I39</f>
        <v>72981</v>
      </c>
      <c r="G39" s="7">
        <f>Sheet4!J39</f>
        <v>130781.952</v>
      </c>
      <c r="H39" s="7">
        <f>Sheet2!P36</f>
        <v>190985.95199999999</v>
      </c>
      <c r="I39" s="10">
        <f>Sheet1!AA37</f>
        <v>4.34</v>
      </c>
      <c r="J39" s="10">
        <f>(Sheet1!Z37)*100</f>
        <v>0.98776730640416088</v>
      </c>
      <c r="K39" s="10">
        <f>(Sheet1!AB37)*100</f>
        <v>-3.2950547752513541E-2</v>
      </c>
      <c r="L39" s="10">
        <f>(Sheet1!AD37)*100</f>
        <v>27.085363672472297</v>
      </c>
      <c r="M39" s="10">
        <f>(Sheet1!AE37)*100</f>
        <v>3.6477673064041607</v>
      </c>
      <c r="N39" s="10">
        <f>Sheet4!M39</f>
        <v>0.68477262662753335</v>
      </c>
      <c r="O39" s="10">
        <f>Sheet4!R39</f>
        <v>9.1664991204285354E-2</v>
      </c>
      <c r="P39" s="10">
        <f>Sheet4!S39</f>
        <v>0.22356238216818131</v>
      </c>
      <c r="Q39" s="10">
        <f>Sheet4!P39</f>
        <v>0.11805841074555018</v>
      </c>
    </row>
    <row r="40" spans="1:17" x14ac:dyDescent="0.3">
      <c r="A40">
        <f>Sheet4!A40</f>
        <v>1928</v>
      </c>
      <c r="B40" s="2">
        <f>Sheet1!B38</f>
        <v>337189</v>
      </c>
      <c r="C40" s="2">
        <f>Sheet1!C38</f>
        <v>287857</v>
      </c>
      <c r="D40" s="2">
        <f>Sheet1!D38</f>
        <v>10373</v>
      </c>
      <c r="E40" s="2">
        <f>Sheet1!J38</f>
        <v>49937</v>
      </c>
      <c r="F40" s="7">
        <f>Sheet4!I40</f>
        <v>73526</v>
      </c>
      <c r="G40" s="7">
        <f>Sheet4!J40</f>
        <v>134037.89799999999</v>
      </c>
      <c r="H40" s="7">
        <f>Sheet2!P37</f>
        <v>193742.89799999999</v>
      </c>
      <c r="I40" s="10">
        <f>Sheet1!AA38</f>
        <v>4.3499999999999996</v>
      </c>
      <c r="J40" s="10">
        <f>(Sheet1!Z38)*100</f>
        <v>0.98276111940549371</v>
      </c>
      <c r="K40" s="10">
        <f>(Sheet1!AB38)*100</f>
        <v>-5.9317290524741065E-2</v>
      </c>
      <c r="L40" s="10">
        <f>(Sheet1!AD38)*100</f>
        <v>26.151929857662115</v>
      </c>
      <c r="M40" s="10">
        <f>(Sheet1!AE38)*100</f>
        <v>3.6527611194054939</v>
      </c>
      <c r="N40" s="10">
        <f>Sheet4!M40</f>
        <v>0.69183386531154289</v>
      </c>
      <c r="O40" s="10">
        <f>Sheet4!R40</f>
        <v>8.3244107682161964E-2</v>
      </c>
      <c r="P40" s="10">
        <f>Sheet4!S40</f>
        <v>0.22492202700629516</v>
      </c>
      <c r="Q40" s="10">
        <f>Sheet4!P40</f>
        <v>0.10740094620498017</v>
      </c>
    </row>
    <row r="41" spans="1:17" x14ac:dyDescent="0.3">
      <c r="A41">
        <f>Sheet4!A41</f>
        <v>1929</v>
      </c>
      <c r="B41" s="2">
        <f>Sheet1!B39</f>
        <v>415338</v>
      </c>
      <c r="C41" s="2">
        <f>Sheet1!C39</f>
        <v>350418</v>
      </c>
      <c r="D41" s="2">
        <f>Sheet1!D39</f>
        <v>5303</v>
      </c>
      <c r="E41" s="2">
        <f>Sheet1!J39</f>
        <v>51742</v>
      </c>
      <c r="F41" s="7">
        <f>Sheet4!I41</f>
        <v>87933</v>
      </c>
      <c r="G41" s="7">
        <f>Sheet4!J41</f>
        <v>163115.715</v>
      </c>
      <c r="H41" s="7">
        <f>Sheet2!P38</f>
        <v>233338.715</v>
      </c>
      <c r="I41" s="10">
        <f>Sheet1!AA39</f>
        <v>4.5999999999999996</v>
      </c>
      <c r="J41" s="10">
        <f>(Sheet1!Z39)*100</f>
        <v>1.0010942046132933</v>
      </c>
      <c r="K41" s="10">
        <f>(Sheet1!AB39)*100</f>
        <v>-0.95685814725611285</v>
      </c>
      <c r="L41" s="10">
        <f>(Sheet1!AD39)*100</f>
        <v>16.70881202573398</v>
      </c>
      <c r="M41" s="10">
        <f>(Sheet1!AE39)*100</f>
        <v>3.9210942046132931</v>
      </c>
      <c r="N41" s="10">
        <f>Sheet4!M41</f>
        <v>0.69905122688277421</v>
      </c>
      <c r="O41" s="10">
        <f>Sheet4!R41</f>
        <v>5.0975723463309495E-2</v>
      </c>
      <c r="P41" s="10">
        <f>Sheet4!S41</f>
        <v>0.24997304965391628</v>
      </c>
      <c r="Q41" s="10">
        <f>Sheet4!P41</f>
        <v>6.7965189037257734E-2</v>
      </c>
    </row>
    <row r="42" spans="1:17" x14ac:dyDescent="0.3">
      <c r="A42">
        <f>Sheet4!A42</f>
        <v>1930</v>
      </c>
      <c r="B42" s="2">
        <f>Sheet1!B40</f>
        <v>376167</v>
      </c>
      <c r="C42" s="2">
        <f>Sheet1!C40</f>
        <v>325710</v>
      </c>
      <c r="D42" s="2">
        <f>Sheet1!D40</f>
        <v>10582</v>
      </c>
      <c r="E42" s="2">
        <f>Sheet1!J40</f>
        <v>46121</v>
      </c>
      <c r="F42" s="7">
        <f>Sheet4!I42</f>
        <v>78380</v>
      </c>
      <c r="G42" s="7">
        <f>Sheet4!J42</f>
        <v>140927.24</v>
      </c>
      <c r="H42" s="7">
        <f>Sheet2!P39</f>
        <v>201966.24</v>
      </c>
      <c r="I42" s="10">
        <f>Sheet1!AA40</f>
        <v>4.5466666666666669</v>
      </c>
      <c r="J42" s="10">
        <f>(Sheet1!Z40)*100</f>
        <v>0.90470897039750398</v>
      </c>
      <c r="K42" s="10">
        <f>(Sheet1!AB40)*100</f>
        <v>0</v>
      </c>
      <c r="L42" s="10">
        <f>(Sheet1!AD40)*100</f>
        <v>28.395370780274419</v>
      </c>
      <c r="M42" s="10">
        <f>(Sheet1!AE40)*100</f>
        <v>3.7713756370641711</v>
      </c>
      <c r="N42" s="10">
        <f>Sheet4!M42</f>
        <v>0.69777622240231829</v>
      </c>
      <c r="O42" s="10">
        <f>Sheet4!R42</f>
        <v>8.3839065501114904E-2</v>
      </c>
      <c r="P42" s="10">
        <f>Sheet4!S42</f>
        <v>0.21838471209656679</v>
      </c>
      <c r="Q42" s="10">
        <f>Sheet4!P42</f>
        <v>0.10726385064191968</v>
      </c>
    </row>
    <row r="43" spans="1:17" x14ac:dyDescent="0.3">
      <c r="A43">
        <f>Sheet4!A43</f>
        <v>1931</v>
      </c>
      <c r="B43" s="2">
        <f>Sheet1!B41</f>
        <v>263275</v>
      </c>
      <c r="C43" s="2">
        <f>Sheet1!C41</f>
        <v>227719</v>
      </c>
      <c r="D43" s="2">
        <f>Sheet1!D41</f>
        <v>8859</v>
      </c>
      <c r="E43" s="2">
        <f>Sheet1!J41</f>
        <v>46289</v>
      </c>
      <c r="F43" s="7">
        <f>Sheet4!I43</f>
        <v>65516</v>
      </c>
      <c r="G43" s="7">
        <f>Sheet4!J43</f>
        <v>106660.048</v>
      </c>
      <c r="H43" s="7">
        <f>Sheet2!P40</f>
        <v>151075.04800000001</v>
      </c>
      <c r="I43" s="10">
        <f>Sheet1!AA41</f>
        <v>4.5774999999999997</v>
      </c>
      <c r="J43" s="10">
        <f>(Sheet1!Z41)*100</f>
        <v>0.9600753098982423</v>
      </c>
      <c r="K43" s="10">
        <f>(Sheet1!AB41)*100</f>
        <v>0</v>
      </c>
      <c r="L43" s="10">
        <f>(Sheet1!AD41)*100</f>
        <v>24.676031530598625</v>
      </c>
      <c r="M43" s="10">
        <f>(Sheet1!AE41)*100</f>
        <v>3.8575753098982424</v>
      </c>
      <c r="N43" s="10">
        <f>Sheet4!M43</f>
        <v>0.70600704359862254</v>
      </c>
      <c r="O43" s="10">
        <f>Sheet4!R43</f>
        <v>9.5087496953033979E-2</v>
      </c>
      <c r="P43" s="10">
        <f>Sheet4!S43</f>
        <v>0.19890545944834348</v>
      </c>
      <c r="Q43" s="10">
        <f>Sheet4!P43</f>
        <v>0.11869697287857438</v>
      </c>
    </row>
    <row r="44" spans="1:17" x14ac:dyDescent="0.3">
      <c r="A44">
        <f>Sheet4!A44</f>
        <v>1932</v>
      </c>
      <c r="B44" s="2">
        <f>Sheet1!B42</f>
        <v>147162</v>
      </c>
      <c r="C44" s="2">
        <f>Sheet1!C42</f>
        <v>140252</v>
      </c>
      <c r="D44" s="2">
        <f>Sheet1!D42</f>
        <v>6581</v>
      </c>
      <c r="E44" s="2">
        <f>Sheet1!J42</f>
        <v>44984</v>
      </c>
      <c r="F44" s="7">
        <f>Sheet4!I44</f>
        <v>46943</v>
      </c>
      <c r="G44" s="7">
        <f>Sheet4!J44</f>
        <v>61401.444000000003</v>
      </c>
      <c r="H44" s="7">
        <f>Sheet2!P41</f>
        <v>74892.444000000003</v>
      </c>
      <c r="I44" s="10">
        <f>Sheet1!AA42</f>
        <v>5.0066666666666668</v>
      </c>
      <c r="J44" s="10">
        <f>(Sheet1!Z42)*100</f>
        <v>0.94859022818869854</v>
      </c>
      <c r="K44" s="10">
        <f>(Sheet1!AB42)*100</f>
        <v>0</v>
      </c>
      <c r="L44" s="10">
        <f>(Sheet1!AD42)*100</f>
        <v>20.584902991245194</v>
      </c>
      <c r="M44" s="10">
        <f>(Sheet1!AE42)*100</f>
        <v>4.2752568948553655</v>
      </c>
      <c r="N44" s="10">
        <f>Sheet4!M44</f>
        <v>0.81986166721972642</v>
      </c>
      <c r="O44" s="10">
        <f>Sheet4!R44</f>
        <v>0.16211773187887027</v>
      </c>
      <c r="P44" s="10">
        <f>Sheet4!S44</f>
        <v>1.8020600901403311E-2</v>
      </c>
      <c r="Q44" s="10">
        <f>Sheet4!P44</f>
        <v>0.16509280340064716</v>
      </c>
    </row>
    <row r="45" spans="1:17" x14ac:dyDescent="0.3">
      <c r="A45">
        <f>Sheet4!A45</f>
        <v>1933</v>
      </c>
      <c r="B45" s="2">
        <f>Sheet1!B43</f>
        <v>136637</v>
      </c>
      <c r="C45" s="2">
        <f>Sheet1!C43</f>
        <v>124952</v>
      </c>
      <c r="D45" s="2">
        <f>Sheet1!D43</f>
        <v>6180</v>
      </c>
      <c r="E45" s="2">
        <f>Sheet1!J43</f>
        <v>42242</v>
      </c>
      <c r="F45" s="7">
        <f>Sheet4!I45</f>
        <v>41560</v>
      </c>
      <c r="G45" s="7">
        <f>Sheet4!J45</f>
        <v>55274.8</v>
      </c>
      <c r="H45" s="7">
        <f>Sheet2!P42</f>
        <v>73139.8</v>
      </c>
      <c r="I45" s="10">
        <f>Sheet1!AA43</f>
        <v>4.4891666666666667</v>
      </c>
      <c r="J45" s="10">
        <f>(Sheet1!Z43)*100</f>
        <v>0.88266949352607904</v>
      </c>
      <c r="K45" s="10">
        <f>(Sheet1!AB43)*100</f>
        <v>0</v>
      </c>
      <c r="L45" s="10">
        <f>(Sheet1!AD43)*100</f>
        <v>20.001825270556839</v>
      </c>
      <c r="M45" s="10">
        <f>(Sheet1!AE43)*100</f>
        <v>3.6918361601927465</v>
      </c>
      <c r="N45" s="10">
        <f>Sheet4!M45</f>
        <v>0.75574174389320181</v>
      </c>
      <c r="O45" s="10">
        <f>Sheet4!R45</f>
        <v>0.13974498320239762</v>
      </c>
      <c r="P45" s="10">
        <f>Sheet4!S45</f>
        <v>0.10451327290440057</v>
      </c>
      <c r="Q45" s="10">
        <f>Sheet4!P45</f>
        <v>0.15605477889733016</v>
      </c>
    </row>
    <row r="46" spans="1:17" x14ac:dyDescent="0.3">
      <c r="A46">
        <f>Sheet4!A46</f>
        <v>1934</v>
      </c>
      <c r="B46" s="2">
        <f>Sheet1!B44</f>
        <v>164797</v>
      </c>
      <c r="C46" s="2">
        <f>Sheet1!C44</f>
        <v>147716</v>
      </c>
      <c r="D46" s="2">
        <f>Sheet1!D44</f>
        <v>7336</v>
      </c>
      <c r="E46" s="2">
        <f>Sheet1!J44</f>
        <v>39852</v>
      </c>
      <c r="F46" s="7">
        <f>Sheet4!I46</f>
        <v>49642</v>
      </c>
      <c r="G46" s="7">
        <f>Sheet4!J46</f>
        <v>75207.63</v>
      </c>
      <c r="H46" s="7">
        <f>Sheet2!P43</f>
        <v>99624.63</v>
      </c>
      <c r="I46" s="10">
        <f>Sheet1!AA44</f>
        <v>4.003333333333333</v>
      </c>
      <c r="J46" s="10">
        <f>(Sheet1!Z44)*100</f>
        <v>0.84082992950085123</v>
      </c>
      <c r="K46" s="10">
        <f>(Sheet1!AB44)*100</f>
        <v>-2.2164266858674564</v>
      </c>
      <c r="L46" s="10">
        <f>(Sheet1!AD44)*100</f>
        <v>25.060697693168077</v>
      </c>
      <c r="M46" s="10">
        <f>(Sheet1!AE44)*100</f>
        <v>3.164163262834184</v>
      </c>
      <c r="N46" s="10">
        <f>Sheet4!M46</f>
        <v>0.75491000568835243</v>
      </c>
      <c r="O46" s="10">
        <f>Sheet4!R46</f>
        <v>0.11580942418864641</v>
      </c>
      <c r="P46" s="10">
        <f>Sheet4!S46</f>
        <v>0.12928057012300115</v>
      </c>
      <c r="Q46" s="10">
        <f>Sheet4!P46</f>
        <v>0.13300429531589308</v>
      </c>
    </row>
    <row r="47" spans="1:17" x14ac:dyDescent="0.3">
      <c r="A47">
        <f>Sheet4!A47</f>
        <v>1935</v>
      </c>
      <c r="B47" s="2">
        <f>Sheet1!B45</f>
        <v>208733</v>
      </c>
      <c r="C47" s="2">
        <f>Sheet1!C45</f>
        <v>177068</v>
      </c>
      <c r="D47" s="2">
        <f>Sheet1!D45</f>
        <v>9339</v>
      </c>
      <c r="E47" s="2">
        <f>Sheet1!J45</f>
        <v>35836</v>
      </c>
      <c r="F47" s="7">
        <f>Sheet4!I47</f>
        <v>55706</v>
      </c>
      <c r="G47" s="7">
        <f>Sheet4!J47</f>
        <v>88739.657999999996</v>
      </c>
      <c r="H47" s="7">
        <f>Sheet2!P44</f>
        <v>129743.658</v>
      </c>
      <c r="I47" s="10">
        <f>Sheet1!AA45</f>
        <v>3.6025</v>
      </c>
      <c r="J47" s="10">
        <f>(Sheet1!Z45)*100</f>
        <v>0.83801903266609923</v>
      </c>
      <c r="K47" s="10">
        <f>(Sheet1!AB45)*100</f>
        <v>0.21237643466428088</v>
      </c>
      <c r="L47" s="10">
        <f>(Sheet1!AD45)*100</f>
        <v>30.343874920898621</v>
      </c>
      <c r="M47" s="10">
        <f>(Sheet1!AE45)*100</f>
        <v>2.7605190326660995</v>
      </c>
      <c r="N47" s="10">
        <f>Sheet4!M47</f>
        <v>0.68396143108590324</v>
      </c>
      <c r="O47" s="10">
        <f>Sheet4!R47</f>
        <v>9.556938374047419E-2</v>
      </c>
      <c r="P47" s="10">
        <f>Sheet4!S47</f>
        <v>0.22046918517362257</v>
      </c>
      <c r="Q47" s="10">
        <f>Sheet4!P47</f>
        <v>0.12259859639000938</v>
      </c>
    </row>
    <row r="48" spans="1:17" x14ac:dyDescent="0.3">
      <c r="A48">
        <f>Sheet4!A48</f>
        <v>1936</v>
      </c>
      <c r="B48" s="2">
        <f>Sheet1!B46</f>
        <v>268545</v>
      </c>
      <c r="C48" s="2">
        <f>Sheet1!C46</f>
        <v>220131</v>
      </c>
      <c r="D48" s="2">
        <f>Sheet1!D46</f>
        <v>11799</v>
      </c>
      <c r="E48" s="2">
        <f>Sheet1!J46</f>
        <v>32154</v>
      </c>
      <c r="F48" s="7">
        <f>Sheet4!I48</f>
        <v>61781</v>
      </c>
      <c r="G48" s="7">
        <f>Sheet4!J48</f>
        <v>106757.568</v>
      </c>
      <c r="H48" s="7">
        <f>Sheet2!P45</f>
        <v>166970.568</v>
      </c>
      <c r="I48" s="10">
        <f>Sheet1!AA46</f>
        <v>3.2358333333333333</v>
      </c>
      <c r="J48" s="10">
        <f>(Sheet1!Z46)*100</f>
        <v>0.7873998220356051</v>
      </c>
      <c r="K48" s="10">
        <f>(Sheet1!AB46)*100</f>
        <v>3.8507100473780849</v>
      </c>
      <c r="L48" s="10">
        <f>(Sheet1!AD46)*100</f>
        <v>38.280830872157487</v>
      </c>
      <c r="M48" s="10">
        <f>(Sheet1!AE46)*100</f>
        <v>2.3432331553689392</v>
      </c>
      <c r="N48" s="10">
        <f>Sheet4!M48</f>
        <v>0.63937955819854431</v>
      </c>
      <c r="O48" s="10">
        <f>Sheet4!R48</f>
        <v>8.1983984088448231E-2</v>
      </c>
      <c r="P48" s="10">
        <f>Sheet4!S48</f>
        <v>0.27863645771300749</v>
      </c>
      <c r="Q48" s="10">
        <f>Sheet4!P48</f>
        <v>0.113651410533624</v>
      </c>
    </row>
    <row r="49" spans="1:17" x14ac:dyDescent="0.3">
      <c r="A49">
        <f>Sheet4!A49</f>
        <v>1937</v>
      </c>
      <c r="B49" s="2">
        <f>Sheet1!B47</f>
        <v>349740</v>
      </c>
      <c r="C49" s="2">
        <f>Sheet1!C47</f>
        <v>276083</v>
      </c>
      <c r="D49" s="2">
        <f>Sheet1!D47</f>
        <v>12067</v>
      </c>
      <c r="E49" s="2">
        <f>Sheet1!J47</f>
        <v>40082</v>
      </c>
      <c r="F49" s="7">
        <f>Sheet4!I49</f>
        <v>75212</v>
      </c>
      <c r="G49" s="7">
        <f>Sheet4!J49</f>
        <v>145384.796</v>
      </c>
      <c r="H49" s="7">
        <f>Sheet2!P46</f>
        <v>231108.796</v>
      </c>
      <c r="I49" s="10">
        <f>Sheet1!AA47</f>
        <v>3.2633333333333332</v>
      </c>
      <c r="J49" s="10">
        <f>(Sheet1!Z47)*100</f>
        <v>0.79669189259201845</v>
      </c>
      <c r="K49" s="10">
        <f>(Sheet1!AB47)*100</f>
        <v>3.6982405494698756</v>
      </c>
      <c r="L49" s="10">
        <f>(Sheet1!AD47)*100</f>
        <v>31.580952100996491</v>
      </c>
      <c r="M49" s="10">
        <f>(Sheet1!AE47)*100</f>
        <v>2.380025225925352</v>
      </c>
      <c r="N49" s="10">
        <f>Sheet4!M49</f>
        <v>0.62907513048529751</v>
      </c>
      <c r="O49" s="10">
        <f>Sheet4!R49</f>
        <v>6.1976726621132364E-2</v>
      </c>
      <c r="P49" s="10">
        <f>Sheet4!S49</f>
        <v>0.30894814289357014</v>
      </c>
      <c r="Q49" s="10">
        <f>Sheet4!P49</f>
        <v>8.9684624943547814E-2</v>
      </c>
    </row>
    <row r="50" spans="1:17" x14ac:dyDescent="0.3">
      <c r="A50">
        <f>Sheet4!A50</f>
        <v>1938</v>
      </c>
      <c r="B50" s="2">
        <f>Sheet1!B48</f>
        <v>259484</v>
      </c>
      <c r="C50" s="2">
        <f>Sheet1!C48</f>
        <v>219144</v>
      </c>
      <c r="D50" s="2">
        <f>Sheet1!D48</f>
        <v>11655</v>
      </c>
      <c r="E50" s="2">
        <f>Sheet1!J48</f>
        <v>40148</v>
      </c>
      <c r="F50" s="7">
        <f>Sheet4!I50</f>
        <v>59917</v>
      </c>
      <c r="G50" s="7">
        <f>Sheet4!J50</f>
        <v>101499.398</v>
      </c>
      <c r="H50" s="7">
        <f>Sheet2!P47</f>
        <v>153494.39799999999</v>
      </c>
      <c r="I50" s="10">
        <f>Sheet1!AA48</f>
        <v>3.1924999999999999</v>
      </c>
      <c r="J50" s="10">
        <f>(Sheet1!Z48)*100</f>
        <v>0.83046993040315642</v>
      </c>
      <c r="K50" s="10">
        <f>(Sheet1!AB48)*100</f>
        <v>2.7471091706936406</v>
      </c>
      <c r="L50" s="10">
        <f>(Sheet1!AD48)*100</f>
        <v>31.103437659790078</v>
      </c>
      <c r="M50" s="10">
        <f>(Sheet1!AE48)*100</f>
        <v>2.3429699304031564</v>
      </c>
      <c r="N50" s="10">
        <f>Sheet4!M50</f>
        <v>0.66125799587812972</v>
      </c>
      <c r="O50" s="10">
        <f>Sheet4!R50</f>
        <v>9.7558947325016521E-2</v>
      </c>
      <c r="P50" s="10">
        <f>Sheet4!S50</f>
        <v>0.24118305679685376</v>
      </c>
      <c r="Q50" s="10">
        <f>Sheet4!P50</f>
        <v>0.12856717051308458</v>
      </c>
    </row>
    <row r="51" spans="1:17" x14ac:dyDescent="0.3">
      <c r="A51">
        <f>Sheet4!A51</f>
        <v>1939</v>
      </c>
      <c r="B51" s="2">
        <f>Sheet1!B49</f>
        <v>304680</v>
      </c>
      <c r="C51" s="2">
        <f>Sheet1!C49</f>
        <v>244403</v>
      </c>
      <c r="D51" s="2">
        <f>Sheet1!D49</f>
        <v>13893</v>
      </c>
      <c r="E51" s="2">
        <f>Sheet1!J49</f>
        <v>37094</v>
      </c>
      <c r="F51" s="7">
        <f>Sheet4!I51</f>
        <v>62797</v>
      </c>
      <c r="G51" s="7">
        <f>Sheet4!J51</f>
        <v>120130.66099999999</v>
      </c>
      <c r="H51" s="7">
        <f>Sheet2!P48</f>
        <v>194300.66099999999</v>
      </c>
      <c r="I51" s="10">
        <f>Sheet1!AA49</f>
        <v>3.0058333333333334</v>
      </c>
      <c r="J51" s="10">
        <f>(Sheet1!Z49)*100</f>
        <v>0.84978879150271935</v>
      </c>
      <c r="K51" s="10">
        <f>(Sheet1!AB49)*100</f>
        <v>2.86921193296951</v>
      </c>
      <c r="L51" s="10">
        <f>(Sheet1!AD49)*100</f>
        <v>39.514526905748717</v>
      </c>
      <c r="M51" s="10">
        <f>(Sheet1!AE49)*100</f>
        <v>2.1756221248360528</v>
      </c>
      <c r="N51" s="10">
        <f>Sheet4!M51</f>
        <v>0.61827201401028686</v>
      </c>
      <c r="O51" s="10">
        <f>Sheet4!R51</f>
        <v>8.4454854903627419E-2</v>
      </c>
      <c r="P51" s="10">
        <f>Sheet4!S51</f>
        <v>0.29727313108608572</v>
      </c>
      <c r="Q51" s="10">
        <f>Sheet4!P51</f>
        <v>0.12018162196381499</v>
      </c>
    </row>
    <row r="52" spans="1:17" x14ac:dyDescent="0.3">
      <c r="J52" s="12"/>
    </row>
  </sheetData>
  <pageMargins left="0.7" right="0.7" top="0.75" bottom="0.75" header="0.3" footer="0.3"/>
  <pageSetup scale="62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Mordecai Kurz</dc:creator>
  <cp:lastModifiedBy>Mordecai Kurz</cp:lastModifiedBy>
  <cp:lastPrinted>2021-01-24T17:43:46Z</cp:lastPrinted>
  <dcterms:created xsi:type="dcterms:W3CDTF">2018-08-03T22:41:28Z</dcterms:created>
  <dcterms:modified xsi:type="dcterms:W3CDTF">2021-10-11T18:15:48Z</dcterms:modified>
</cp:coreProperties>
</file>